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mc:AlternateContent xmlns:mc="http://schemas.openxmlformats.org/markup-compatibility/2006">
    <mc:Choice Requires="x15">
      <x15ac:absPath xmlns:x15ac="http://schemas.microsoft.com/office/spreadsheetml/2010/11/ac" url="C:\Users\000011593\Documents\Academic Supports\Charter Schools\"/>
    </mc:Choice>
  </mc:AlternateContent>
  <xr:revisionPtr revIDLastSave="0" documentId="8_{B00A1C36-D0EF-431C-ADEE-9514DCF2BE24}" xr6:coauthVersionLast="36" xr6:coauthVersionMax="36" xr10:uidLastSave="{00000000-0000-0000-0000-000000000000}"/>
  <bookViews>
    <workbookView xWindow="2475" yWindow="495" windowWidth="25140" windowHeight="11685" tabRatio="927" activeTab="1" xr2:uid="{00000000-000D-0000-FFFF-FFFF00000000}"/>
  </bookViews>
  <sheets>
    <sheet name="Source" sheetId="12" state="hidden" r:id="rId1"/>
    <sheet name="KNOX-BOYS" sheetId="24" r:id="rId2"/>
    <sheet name="ENROLLMENT" sheetId="26" r:id="rId3"/>
    <sheet name="STAFF_KPB" sheetId="30" r:id="rId4"/>
    <sheet name="TISA-High School" sheetId="31" r:id="rId5"/>
    <sheet name="TISA-Middle School" sheetId="34" r:id="rId6"/>
    <sheet name="TISA Calculator Tracker" sheetId="32" r:id="rId7"/>
    <sheet name="INPUTS" sheetId="27" r:id="rId8"/>
    <sheet name="BEP-TISA-HS" sheetId="28" state="hidden" r:id="rId9"/>
    <sheet name="BEP-TISA-MS" sheetId="29" state="hidden" r:id="rId10"/>
    <sheet name="Actual FY RevExp FY22" sheetId="33" r:id="rId11"/>
    <sheet name="Instructions" sheetId="1" r:id="rId12"/>
    <sheet name="1) Proposed School Information" sheetId="10" r:id="rId13"/>
    <sheet name="2) Student Assumptions" sheetId="3" r:id="rId14"/>
    <sheet name="3) Pre-Opening Budget" sheetId="15" r:id="rId15"/>
    <sheet name="4) Pre-Opening Cash Flow" sheetId="18" r:id="rId16"/>
    <sheet name="5) Year 1-5 Staff Assumptions" sheetId="11" r:id="rId17"/>
    <sheet name="6) Year 1 Budget" sheetId="13" r:id="rId18"/>
    <sheet name="7) Year 1 Cash Flow" sheetId="17" r:id="rId19"/>
    <sheet name="8) Year 2 through 5 Budget" sheetId="14" r:id="rId20"/>
    <sheet name="9) Summary" sheetId="19" r:id="rId21"/>
  </sheets>
  <externalReferences>
    <externalReference r:id="rId22"/>
    <externalReference r:id="rId23"/>
    <externalReference r:id="rId24"/>
    <externalReference r:id="rId25"/>
  </externalReferences>
  <definedNames>
    <definedName name="\Z">#REF!</definedName>
    <definedName name="Elem">'[1]District ADM'!#REF!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44344.676099537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2">'1) Proposed School Information'!$B$2:$P$27</definedName>
    <definedName name="_xlnm.Print_Area" localSheetId="13">'2) Student Assumptions'!$B$1:$Q$79</definedName>
    <definedName name="_xlnm.Print_Area" localSheetId="14">'3) Pre-Opening Budget'!$B$2:$H$191</definedName>
    <definedName name="_xlnm.Print_Area" localSheetId="15">'4) Pre-Opening Cash Flow'!$B$2:$S$222</definedName>
    <definedName name="_xlnm.Print_Area" localSheetId="16">'5) Year 1-5 Staff Assumptions'!$A$1:$K$106</definedName>
    <definedName name="_xlnm.Print_Area" localSheetId="17">'6) Year 1 Budget'!$A$1:$I$190</definedName>
    <definedName name="_xlnm.Print_Area" localSheetId="18">'7) Year 1 Cash Flow'!$A$1:$W$227</definedName>
    <definedName name="_xlnm.Print_Area" localSheetId="19">'8) Year 2 through 5 Budget'!$A$1:$K$194</definedName>
    <definedName name="_xlnm.Print_Area" localSheetId="11">Instructions!$A$1:$H$44</definedName>
    <definedName name="_xlnm.Print_Titles" localSheetId="13">'2) Student Assumptions'!$2:$6</definedName>
    <definedName name="_xlnm.Print_Titles" localSheetId="14">'3) Pre-Opening Budget'!$2:$6</definedName>
    <definedName name="_xlnm.Print_Titles" localSheetId="15">'4) Pre-Opening Cash Flow'!$2:$6</definedName>
    <definedName name="_xlnm.Print_Titles" localSheetId="16">'5) Year 1-5 Staff Assumptions'!$2:$5</definedName>
    <definedName name="_xlnm.Print_Titles" localSheetId="17">'6) Year 1 Budget'!$2:$5</definedName>
    <definedName name="_xlnm.Print_Titles" localSheetId="18">'7) Year 1 Cash Flow'!$2:$7</definedName>
    <definedName name="_xlnm.Print_Titles" localSheetId="19">'8) Year 2 through 5 Budget'!$2:$5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Q58" i="17" l="1"/>
  <c r="Q57" i="17"/>
  <c r="H56" i="17"/>
  <c r="I56" i="17"/>
  <c r="J56" i="17"/>
  <c r="K56" i="17"/>
  <c r="L56" i="17"/>
  <c r="M56" i="17"/>
  <c r="N56" i="17"/>
  <c r="O56" i="17"/>
  <c r="H57" i="17"/>
  <c r="I57" i="17"/>
  <c r="J57" i="17"/>
  <c r="K57" i="17"/>
  <c r="L57" i="17"/>
  <c r="M57" i="17"/>
  <c r="N57" i="17"/>
  <c r="O57" i="17"/>
  <c r="H58" i="17"/>
  <c r="I58" i="17"/>
  <c r="J58" i="17"/>
  <c r="K58" i="17"/>
  <c r="L58" i="17"/>
  <c r="M58" i="17"/>
  <c r="N58" i="17"/>
  <c r="O58" i="17"/>
  <c r="G58" i="17"/>
  <c r="G57" i="17"/>
  <c r="F20" i="18"/>
  <c r="F18" i="18"/>
  <c r="K44" i="15"/>
  <c r="Q56" i="17"/>
  <c r="G56" i="17"/>
  <c r="G202" i="14"/>
  <c r="H202" i="14"/>
  <c r="I202" i="14"/>
  <c r="F202" i="14"/>
  <c r="L202" i="14"/>
  <c r="M202" i="14" s="1"/>
  <c r="E202" i="14"/>
  <c r="E201" i="14"/>
  <c r="L201" i="14"/>
  <c r="M201" i="14" s="1"/>
  <c r="C202" i="14"/>
  <c r="C201" i="14"/>
  <c r="G22" i="18"/>
  <c r="H22" i="18"/>
  <c r="I22" i="18"/>
  <c r="J22" i="18"/>
  <c r="K22" i="18"/>
  <c r="L22" i="18"/>
  <c r="M22" i="18"/>
  <c r="N22" i="18"/>
  <c r="O22" i="18"/>
  <c r="P22" i="18"/>
  <c r="Q22" i="18"/>
  <c r="E22" i="18"/>
  <c r="F68" i="18"/>
  <c r="S29" i="3"/>
  <c r="T29" i="3"/>
  <c r="U29" i="3"/>
  <c r="R29" i="3"/>
  <c r="E172" i="14"/>
  <c r="E47" i="14"/>
  <c r="C47" i="14" s="1"/>
  <c r="E46" i="14"/>
  <c r="C46" i="14" s="1"/>
  <c r="E82" i="17"/>
  <c r="E20" i="17"/>
  <c r="E180" i="14"/>
  <c r="G180" i="14" s="1"/>
  <c r="E181" i="14"/>
  <c r="E177" i="14"/>
  <c r="E178" i="14"/>
  <c r="E179" i="14"/>
  <c r="E160" i="14"/>
  <c r="E161" i="14"/>
  <c r="E162" i="14"/>
  <c r="E163" i="14"/>
  <c r="E164" i="14"/>
  <c r="E165" i="14"/>
  <c r="E166" i="14"/>
  <c r="E167" i="14"/>
  <c r="E168" i="14"/>
  <c r="E169" i="14"/>
  <c r="E170" i="14"/>
  <c r="E173" i="14"/>
  <c r="E143" i="14"/>
  <c r="E144" i="14"/>
  <c r="E145" i="14"/>
  <c r="E146" i="14"/>
  <c r="E147" i="14"/>
  <c r="E148" i="14"/>
  <c r="E149" i="14"/>
  <c r="E150" i="14"/>
  <c r="E151" i="14"/>
  <c r="E152" i="14"/>
  <c r="E153" i="14"/>
  <c r="E154" i="14"/>
  <c r="E155" i="14"/>
  <c r="E156" i="14"/>
  <c r="E107" i="14"/>
  <c r="E108" i="14"/>
  <c r="E109" i="14"/>
  <c r="E110" i="14"/>
  <c r="E111" i="14"/>
  <c r="E112" i="14"/>
  <c r="E126" i="14"/>
  <c r="E127" i="14"/>
  <c r="E128" i="14"/>
  <c r="E129" i="14"/>
  <c r="E130" i="14"/>
  <c r="E131" i="14"/>
  <c r="E132" i="14"/>
  <c r="E133" i="14"/>
  <c r="E134" i="14"/>
  <c r="E135" i="14"/>
  <c r="E136" i="14"/>
  <c r="E137" i="14"/>
  <c r="E138" i="14"/>
  <c r="E139" i="14"/>
  <c r="E78" i="14"/>
  <c r="E79" i="14"/>
  <c r="E80" i="14"/>
  <c r="E81" i="14"/>
  <c r="E82" i="14"/>
  <c r="E70" i="14"/>
  <c r="E71" i="14"/>
  <c r="E72" i="14"/>
  <c r="E73" i="14"/>
  <c r="E62" i="14"/>
  <c r="E63" i="14"/>
  <c r="E64" i="14"/>
  <c r="E65" i="14"/>
  <c r="E25" i="14"/>
  <c r="E160" i="17"/>
  <c r="E161" i="17"/>
  <c r="E162" i="17"/>
  <c r="E163" i="17"/>
  <c r="E164" i="17"/>
  <c r="E165" i="17"/>
  <c r="E166" i="17"/>
  <c r="E167" i="17"/>
  <c r="E168" i="17"/>
  <c r="E169" i="17"/>
  <c r="E170" i="17"/>
  <c r="E171" i="17"/>
  <c r="E172" i="17"/>
  <c r="E173" i="17"/>
  <c r="E159" i="17"/>
  <c r="R168" i="18"/>
  <c r="F168" i="18"/>
  <c r="G168" i="18"/>
  <c r="H168" i="18"/>
  <c r="I168" i="18"/>
  <c r="J168" i="18"/>
  <c r="K168" i="18"/>
  <c r="L168" i="18"/>
  <c r="M168" i="18"/>
  <c r="N168" i="18"/>
  <c r="O168" i="18"/>
  <c r="P168" i="18"/>
  <c r="Q168" i="18"/>
  <c r="E155" i="18"/>
  <c r="E156" i="18"/>
  <c r="E157" i="18"/>
  <c r="E158" i="18"/>
  <c r="E159" i="18"/>
  <c r="E160" i="18"/>
  <c r="E161" i="18"/>
  <c r="E162" i="18"/>
  <c r="E163" i="18"/>
  <c r="E164" i="18"/>
  <c r="E165" i="18"/>
  <c r="E166" i="18"/>
  <c r="E167" i="18"/>
  <c r="E154" i="18"/>
  <c r="F180" i="14" l="1"/>
  <c r="I180" i="14"/>
  <c r="H180" i="14"/>
  <c r="F25" i="14" l="1"/>
  <c r="G25" i="14" s="1"/>
  <c r="H25" i="14" s="1"/>
  <c r="I25" i="14" s="1"/>
  <c r="V38" i="32"/>
  <c r="C19" i="13" s="1"/>
  <c r="E17" i="14" s="1"/>
  <c r="F17" i="14" s="1"/>
  <c r="G17" i="14" s="1"/>
  <c r="H17" i="14" s="1"/>
  <c r="I17" i="14" s="1"/>
  <c r="U40" i="32"/>
  <c r="V40" i="32" s="1"/>
  <c r="C21" i="13" s="1"/>
  <c r="E19" i="14" s="1"/>
  <c r="F19" i="14" s="1"/>
  <c r="G19" i="14" s="1"/>
  <c r="H19" i="14" s="1"/>
  <c r="I19" i="14" s="1"/>
  <c r="AD34" i="34"/>
  <c r="AD36" i="34" s="1"/>
  <c r="AA26" i="34"/>
  <c r="AD26" i="34" s="1"/>
  <c r="R26" i="34"/>
  <c r="U26" i="34" s="1"/>
  <c r="AA25" i="34"/>
  <c r="AD25" i="34" s="1"/>
  <c r="U25" i="34"/>
  <c r="AA24" i="34"/>
  <c r="U24" i="34"/>
  <c r="AA23" i="34"/>
  <c r="AD23" i="34" s="1"/>
  <c r="U23" i="34"/>
  <c r="AA22" i="34"/>
  <c r="V22" i="34" s="1"/>
  <c r="U22" i="34"/>
  <c r="AA20" i="34"/>
  <c r="AA19" i="34"/>
  <c r="AA18" i="34"/>
  <c r="AD18" i="34" s="1"/>
  <c r="AA17" i="34"/>
  <c r="AA16" i="34"/>
  <c r="AA15" i="34"/>
  <c r="AA14" i="34"/>
  <c r="AD14" i="34" s="1"/>
  <c r="AA13" i="34"/>
  <c r="AA12" i="34"/>
  <c r="AA11" i="34"/>
  <c r="AA10" i="34"/>
  <c r="AD10" i="34" s="1"/>
  <c r="U10" i="34"/>
  <c r="AA9" i="34"/>
  <c r="AA8" i="34"/>
  <c r="AA7" i="34"/>
  <c r="AA5" i="34"/>
  <c r="V14" i="34" s="1"/>
  <c r="U5" i="34"/>
  <c r="R5" i="34"/>
  <c r="O44" i="34" s="1"/>
  <c r="R5" i="32"/>
  <c r="Q213" i="17"/>
  <c r="P213" i="17"/>
  <c r="O213" i="17"/>
  <c r="N213" i="17"/>
  <c r="M213" i="17"/>
  <c r="L213" i="17"/>
  <c r="K213" i="17"/>
  <c r="J213" i="17"/>
  <c r="I213" i="17"/>
  <c r="H213" i="17"/>
  <c r="G213" i="17"/>
  <c r="F213" i="17"/>
  <c r="D23" i="19"/>
  <c r="G171" i="14"/>
  <c r="B107" i="17"/>
  <c r="K65" i="24"/>
  <c r="J65" i="24"/>
  <c r="I65" i="24"/>
  <c r="B78" i="24"/>
  <c r="J36" i="27"/>
  <c r="I78" i="24" s="1"/>
  <c r="K36" i="27"/>
  <c r="J78" i="24" s="1"/>
  <c r="I36" i="27"/>
  <c r="H78" i="24" s="1"/>
  <c r="M64" i="24"/>
  <c r="L64" i="24"/>
  <c r="K64" i="24"/>
  <c r="J64" i="24"/>
  <c r="I64" i="24"/>
  <c r="F45" i="33"/>
  <c r="F21" i="33" s="1"/>
  <c r="E45" i="33"/>
  <c r="D45" i="33"/>
  <c r="C45" i="33"/>
  <c r="C21" i="33" s="1"/>
  <c r="I27" i="33"/>
  <c r="E21" i="33"/>
  <c r="D21" i="33"/>
  <c r="F20" i="33"/>
  <c r="F48" i="33" s="1"/>
  <c r="E20" i="33"/>
  <c r="E48" i="33" s="1"/>
  <c r="D20" i="33"/>
  <c r="D48" i="33" s="1"/>
  <c r="C20" i="33"/>
  <c r="C24" i="33" s="1"/>
  <c r="D3" i="33"/>
  <c r="AD34" i="32"/>
  <c r="AD36" i="32" s="1"/>
  <c r="AA26" i="32"/>
  <c r="AD26" i="32" s="1"/>
  <c r="R26" i="32"/>
  <c r="U26" i="32" s="1"/>
  <c r="AA25" i="32"/>
  <c r="AD25" i="32" s="1"/>
  <c r="U25" i="32"/>
  <c r="AA24" i="32"/>
  <c r="AD24" i="32" s="1"/>
  <c r="U24" i="32"/>
  <c r="AA23" i="32"/>
  <c r="AD23" i="32" s="1"/>
  <c r="U23" i="32"/>
  <c r="AA22" i="32"/>
  <c r="AD22" i="32" s="1"/>
  <c r="U22" i="32"/>
  <c r="AA20" i="32"/>
  <c r="AA19" i="32"/>
  <c r="AD19" i="32" s="1"/>
  <c r="AA18" i="32"/>
  <c r="AD18" i="32" s="1"/>
  <c r="AA17" i="32"/>
  <c r="AD17" i="32" s="1"/>
  <c r="AD16" i="32"/>
  <c r="AA16" i="32"/>
  <c r="AA15" i="32"/>
  <c r="AD15" i="32" s="1"/>
  <c r="AD14" i="32"/>
  <c r="AA14" i="32"/>
  <c r="AA13" i="32"/>
  <c r="AD13" i="32" s="1"/>
  <c r="AA12" i="32"/>
  <c r="AA11" i="32"/>
  <c r="AD11" i="32" s="1"/>
  <c r="AA10" i="32"/>
  <c r="AD10" i="32" s="1"/>
  <c r="U10" i="32"/>
  <c r="AA9" i="32"/>
  <c r="AA8" i="32"/>
  <c r="AA7" i="32"/>
  <c r="AA5" i="32"/>
  <c r="AD5" i="32" s="1"/>
  <c r="AD34" i="31"/>
  <c r="AD36" i="31" s="1"/>
  <c r="AD26" i="31"/>
  <c r="AA26" i="31"/>
  <c r="R26" i="31"/>
  <c r="U26" i="31" s="1"/>
  <c r="AA25" i="31"/>
  <c r="AD25" i="31" s="1"/>
  <c r="AA24" i="31"/>
  <c r="AD24" i="31" s="1"/>
  <c r="AA23" i="31"/>
  <c r="U23" i="31"/>
  <c r="AA22" i="31"/>
  <c r="AD22" i="31" s="1"/>
  <c r="U22" i="31"/>
  <c r="AA20" i="31"/>
  <c r="AA19" i="31"/>
  <c r="AD19" i="31" s="1"/>
  <c r="AA18" i="31"/>
  <c r="AD18" i="31" s="1"/>
  <c r="AA17" i="31"/>
  <c r="Q51" i="31" s="1"/>
  <c r="R17" i="31" s="1"/>
  <c r="AA16" i="31"/>
  <c r="Q50" i="31" s="1"/>
  <c r="R16" i="31" s="1"/>
  <c r="AD15" i="31"/>
  <c r="AA15" i="31"/>
  <c r="AA14" i="31"/>
  <c r="AA13" i="31"/>
  <c r="AA12" i="31"/>
  <c r="AA11" i="31"/>
  <c r="AD11" i="31" s="1"/>
  <c r="AA10" i="31"/>
  <c r="AD10" i="31" s="1"/>
  <c r="U10" i="31"/>
  <c r="AA9" i="31"/>
  <c r="AA8" i="31"/>
  <c r="AA7" i="31"/>
  <c r="AA5" i="31"/>
  <c r="V10" i="31" s="1"/>
  <c r="R5" i="31"/>
  <c r="R25" i="31" s="1"/>
  <c r="U25" i="31" s="1"/>
  <c r="U5" i="31" l="1"/>
  <c r="V19" i="31"/>
  <c r="D24" i="33"/>
  <c r="Q43" i="32"/>
  <c r="V11" i="31"/>
  <c r="Q49" i="34"/>
  <c r="R15" i="34" s="1"/>
  <c r="Q48" i="31"/>
  <c r="R14" i="31" s="1"/>
  <c r="U14" i="31" s="1"/>
  <c r="AD37" i="32"/>
  <c r="Q41" i="34"/>
  <c r="R7" i="34" s="1"/>
  <c r="AD17" i="31"/>
  <c r="Q41" i="32"/>
  <c r="R7" i="32" s="1"/>
  <c r="V24" i="34"/>
  <c r="V7" i="31"/>
  <c r="V15" i="31"/>
  <c r="V26" i="31"/>
  <c r="V10" i="32"/>
  <c r="V19" i="34"/>
  <c r="AD16" i="31"/>
  <c r="Q42" i="34"/>
  <c r="R8" i="34" s="1"/>
  <c r="Q43" i="34"/>
  <c r="Q54" i="34"/>
  <c r="R20" i="34" s="1"/>
  <c r="Q54" i="32"/>
  <c r="R20" i="32" s="1"/>
  <c r="Q42" i="32"/>
  <c r="R8" i="32" s="1"/>
  <c r="AD9" i="32"/>
  <c r="F24" i="33"/>
  <c r="V23" i="31"/>
  <c r="D47" i="33"/>
  <c r="Q48" i="32"/>
  <c r="R14" i="32" s="1"/>
  <c r="U14" i="32" s="1"/>
  <c r="E47" i="33"/>
  <c r="AD15" i="34"/>
  <c r="AD9" i="34"/>
  <c r="E24" i="33"/>
  <c r="V11" i="34"/>
  <c r="Q43" i="31"/>
  <c r="Q46" i="34"/>
  <c r="R12" i="34" s="1"/>
  <c r="O46" i="34" s="1"/>
  <c r="R46" i="34" s="1"/>
  <c r="Q47" i="34"/>
  <c r="R13" i="34" s="1"/>
  <c r="U13" i="34" s="1"/>
  <c r="F22" i="33"/>
  <c r="V12" i="31"/>
  <c r="Q50" i="34"/>
  <c r="R16" i="34" s="1"/>
  <c r="E22" i="33"/>
  <c r="V17" i="31"/>
  <c r="V20" i="31"/>
  <c r="Q42" i="31"/>
  <c r="R8" i="31" s="1"/>
  <c r="V22" i="31"/>
  <c r="AD37" i="34"/>
  <c r="Q48" i="34"/>
  <c r="R14" i="34" s="1"/>
  <c r="O48" i="34" s="1"/>
  <c r="R48" i="34" s="1"/>
  <c r="Q46" i="32"/>
  <c r="R12" i="32" s="1"/>
  <c r="U12" i="32" s="1"/>
  <c r="R24" i="31"/>
  <c r="U24" i="31" s="1"/>
  <c r="Q47" i="31"/>
  <c r="R13" i="31" s="1"/>
  <c r="O47" i="31" s="1"/>
  <c r="R47" i="31" s="1"/>
  <c r="Q49" i="32"/>
  <c r="R15" i="32" s="1"/>
  <c r="O49" i="32" s="1"/>
  <c r="R49" i="32" s="1"/>
  <c r="Q51" i="34"/>
  <c r="R17" i="34" s="1"/>
  <c r="U17" i="34" s="1"/>
  <c r="V22" i="32"/>
  <c r="V19" i="32"/>
  <c r="O44" i="32"/>
  <c r="U16" i="34"/>
  <c r="O50" i="34"/>
  <c r="R50" i="34" s="1"/>
  <c r="O49" i="34"/>
  <c r="R49" i="34" s="1"/>
  <c r="U15" i="34"/>
  <c r="O41" i="34"/>
  <c r="R41" i="34" s="1"/>
  <c r="U7" i="34"/>
  <c r="O42" i="34"/>
  <c r="R42" i="34" s="1"/>
  <c r="U8" i="34"/>
  <c r="O54" i="34"/>
  <c r="R54" i="34" s="1"/>
  <c r="U20" i="34"/>
  <c r="V8" i="34"/>
  <c r="AD19" i="34"/>
  <c r="V26" i="34"/>
  <c r="AD16" i="34"/>
  <c r="AD24" i="34"/>
  <c r="AD8" i="34"/>
  <c r="AD13" i="34"/>
  <c r="V15" i="34"/>
  <c r="Q44" i="34"/>
  <c r="R44" i="34" s="1"/>
  <c r="Q52" i="34"/>
  <c r="R18" i="34" s="1"/>
  <c r="AD5" i="34"/>
  <c r="AD11" i="34"/>
  <c r="V13" i="34"/>
  <c r="V10" i="34"/>
  <c r="V18" i="34"/>
  <c r="AD22" i="34"/>
  <c r="V7" i="34"/>
  <c r="R9" i="34"/>
  <c r="V12" i="34"/>
  <c r="V20" i="34"/>
  <c r="V23" i="34"/>
  <c r="V25" i="34"/>
  <c r="V16" i="34"/>
  <c r="V17" i="34"/>
  <c r="AD7" i="34"/>
  <c r="V9" i="34"/>
  <c r="AD12" i="34"/>
  <c r="AD20" i="34"/>
  <c r="Q45" i="34"/>
  <c r="R11" i="34" s="1"/>
  <c r="Q53" i="34"/>
  <c r="R19" i="34" s="1"/>
  <c r="AD17" i="34"/>
  <c r="V18" i="32"/>
  <c r="U5" i="32"/>
  <c r="U38" i="32" s="1"/>
  <c r="V24" i="32"/>
  <c r="V14" i="32"/>
  <c r="V11" i="32"/>
  <c r="V16" i="32"/>
  <c r="R213" i="17"/>
  <c r="H171" i="14"/>
  <c r="I171" i="14"/>
  <c r="D22" i="33"/>
  <c r="C47" i="33"/>
  <c r="F47" i="33"/>
  <c r="C48" i="33"/>
  <c r="O50" i="31"/>
  <c r="R50" i="31" s="1"/>
  <c r="U16" i="31"/>
  <c r="O54" i="32"/>
  <c r="R54" i="32" s="1"/>
  <c r="U20" i="32"/>
  <c r="U17" i="31"/>
  <c r="O51" i="31"/>
  <c r="R51" i="31" s="1"/>
  <c r="O41" i="32"/>
  <c r="R41" i="32" s="1"/>
  <c r="U7" i="32"/>
  <c r="U8" i="32"/>
  <c r="O42" i="32"/>
  <c r="R42" i="32" s="1"/>
  <c r="O46" i="32"/>
  <c r="R46" i="32" s="1"/>
  <c r="O48" i="31"/>
  <c r="R48" i="31" s="1"/>
  <c r="O42" i="31"/>
  <c r="R42" i="31" s="1"/>
  <c r="U8" i="31"/>
  <c r="Q47" i="32"/>
  <c r="R13" i="32" s="1"/>
  <c r="AD7" i="31"/>
  <c r="V9" i="31"/>
  <c r="AD12" i="31"/>
  <c r="V14" i="31"/>
  <c r="AD20" i="31"/>
  <c r="AD23" i="31"/>
  <c r="V25" i="31"/>
  <c r="AD37" i="31"/>
  <c r="Q45" i="31"/>
  <c r="R11" i="31" s="1"/>
  <c r="Q53" i="31"/>
  <c r="R19" i="31" s="1"/>
  <c r="V8" i="32"/>
  <c r="V13" i="32"/>
  <c r="V26" i="32"/>
  <c r="Q44" i="32"/>
  <c r="Q52" i="32"/>
  <c r="R18" i="32" s="1"/>
  <c r="AD9" i="31"/>
  <c r="AD14" i="31"/>
  <c r="V16" i="31"/>
  <c r="AD8" i="32"/>
  <c r="V15" i="32"/>
  <c r="Q50" i="32"/>
  <c r="R16" i="32" s="1"/>
  <c r="AD5" i="31"/>
  <c r="V8" i="31"/>
  <c r="V13" i="31"/>
  <c r="V24" i="31"/>
  <c r="Q46" i="31"/>
  <c r="R12" i="31" s="1"/>
  <c r="Q54" i="31"/>
  <c r="R20" i="31" s="1"/>
  <c r="V7" i="32"/>
  <c r="R9" i="32"/>
  <c r="V12" i="32"/>
  <c r="V20" i="32"/>
  <c r="V23" i="32"/>
  <c r="V25" i="32"/>
  <c r="Q45" i="32"/>
  <c r="R11" i="32" s="1"/>
  <c r="Q53" i="32"/>
  <c r="R19" i="32" s="1"/>
  <c r="V18" i="31"/>
  <c r="Q41" i="31"/>
  <c r="R7" i="31" s="1"/>
  <c r="O44" i="31"/>
  <c r="Q49" i="31"/>
  <c r="R15" i="31" s="1"/>
  <c r="V17" i="32"/>
  <c r="AD8" i="31"/>
  <c r="AD13" i="31"/>
  <c r="Q44" i="31"/>
  <c r="Q52" i="31"/>
  <c r="R18" i="31" s="1"/>
  <c r="AD7" i="32"/>
  <c r="V9" i="32"/>
  <c r="AD12" i="32"/>
  <c r="AD20" i="32"/>
  <c r="Q51" i="32"/>
  <c r="R17" i="32" s="1"/>
  <c r="R9" i="31"/>
  <c r="O51" i="34" l="1"/>
  <c r="R51" i="34" s="1"/>
  <c r="AD32" i="32"/>
  <c r="O47" i="34"/>
  <c r="R47" i="34" s="1"/>
  <c r="O48" i="32"/>
  <c r="R48" i="32" s="1"/>
  <c r="U15" i="32"/>
  <c r="U13" i="31"/>
  <c r="U14" i="34"/>
  <c r="U12" i="34"/>
  <c r="R44" i="32"/>
  <c r="AD32" i="34"/>
  <c r="O43" i="34"/>
  <c r="R43" i="34" s="1"/>
  <c r="U9" i="34"/>
  <c r="U32" i="34" s="1"/>
  <c r="U33" i="34" s="1"/>
  <c r="O52" i="34"/>
  <c r="R52" i="34" s="1"/>
  <c r="U18" i="34"/>
  <c r="U11" i="34"/>
  <c r="O45" i="34"/>
  <c r="R45" i="34" s="1"/>
  <c r="U19" i="34"/>
  <c r="O53" i="34"/>
  <c r="R53" i="34" s="1"/>
  <c r="AD33" i="32"/>
  <c r="AD35" i="32"/>
  <c r="AD38" i="32"/>
  <c r="AD39" i="32" s="1"/>
  <c r="U16" i="32"/>
  <c r="O50" i="32"/>
  <c r="R50" i="32" s="1"/>
  <c r="O52" i="31"/>
  <c r="R52" i="31" s="1"/>
  <c r="U18" i="31"/>
  <c r="U9" i="31"/>
  <c r="O43" i="31"/>
  <c r="R43" i="31" s="1"/>
  <c r="O43" i="32"/>
  <c r="R43" i="32" s="1"/>
  <c r="U9" i="32"/>
  <c r="U39" i="32" s="1"/>
  <c r="O53" i="31"/>
  <c r="R53" i="31" s="1"/>
  <c r="U19" i="31"/>
  <c r="U13" i="32"/>
  <c r="O47" i="32"/>
  <c r="R47" i="32" s="1"/>
  <c r="U7" i="31"/>
  <c r="O41" i="31"/>
  <c r="R41" i="31" s="1"/>
  <c r="U19" i="32"/>
  <c r="O53" i="32"/>
  <c r="R53" i="32" s="1"/>
  <c r="U12" i="31"/>
  <c r="O46" i="31"/>
  <c r="R46" i="31" s="1"/>
  <c r="O51" i="32"/>
  <c r="R51" i="32" s="1"/>
  <c r="U17" i="32"/>
  <c r="O45" i="31"/>
  <c r="R45" i="31" s="1"/>
  <c r="U11" i="31"/>
  <c r="U15" i="31"/>
  <c r="O49" i="31"/>
  <c r="R49" i="31" s="1"/>
  <c r="O52" i="32"/>
  <c r="R52" i="32" s="1"/>
  <c r="U18" i="32"/>
  <c r="U20" i="31"/>
  <c r="O54" i="31"/>
  <c r="R54" i="31" s="1"/>
  <c r="U11" i="32"/>
  <c r="O45" i="32"/>
  <c r="R45" i="32" s="1"/>
  <c r="R44" i="31"/>
  <c r="AD32" i="31"/>
  <c r="V39" i="32" l="1"/>
  <c r="U41" i="32"/>
  <c r="U35" i="34"/>
  <c r="U34" i="34"/>
  <c r="U36" i="34" s="1"/>
  <c r="AD38" i="34"/>
  <c r="AD39" i="34" s="1"/>
  <c r="AD33" i="34"/>
  <c r="AD35" i="34"/>
  <c r="U32" i="32"/>
  <c r="AD35" i="31"/>
  <c r="AD38" i="31"/>
  <c r="AD39" i="31" s="1"/>
  <c r="AD33" i="31"/>
  <c r="U32" i="31"/>
  <c r="U33" i="31" s="1"/>
  <c r="U34" i="31" l="1"/>
  <c r="U35" i="31"/>
  <c r="U33" i="32"/>
  <c r="U35" i="32" s="1"/>
  <c r="C20" i="13"/>
  <c r="V41" i="32"/>
  <c r="U34" i="32"/>
  <c r="H17" i="27" s="1"/>
  <c r="B78" i="30"/>
  <c r="B77" i="30"/>
  <c r="B76" i="30"/>
  <c r="B75" i="30"/>
  <c r="B74" i="30"/>
  <c r="B73" i="30"/>
  <c r="B72" i="30"/>
  <c r="B71" i="30"/>
  <c r="B70" i="30"/>
  <c r="H70" i="30" s="1"/>
  <c r="B69" i="30"/>
  <c r="H69" i="30" s="1"/>
  <c r="O68" i="30"/>
  <c r="N68" i="30"/>
  <c r="M68" i="30"/>
  <c r="L68" i="30"/>
  <c r="K68" i="30"/>
  <c r="J68" i="30"/>
  <c r="I68" i="30"/>
  <c r="H68" i="30"/>
  <c r="G68" i="30"/>
  <c r="F68" i="30"/>
  <c r="E68" i="30"/>
  <c r="D68" i="30"/>
  <c r="C68" i="30"/>
  <c r="B63" i="30"/>
  <c r="B62" i="30"/>
  <c r="B61" i="30"/>
  <c r="B60" i="30"/>
  <c r="B59" i="30"/>
  <c r="B58" i="30"/>
  <c r="H57" i="30"/>
  <c r="I57" i="30" s="1"/>
  <c r="B57" i="30"/>
  <c r="H56" i="30"/>
  <c r="I56" i="30" s="1"/>
  <c r="J56" i="30" s="1"/>
  <c r="B56" i="30"/>
  <c r="I55" i="30"/>
  <c r="J55" i="30" s="1"/>
  <c r="K55" i="30" s="1"/>
  <c r="B55" i="30"/>
  <c r="J54" i="30"/>
  <c r="I54" i="30"/>
  <c r="B54" i="30"/>
  <c r="O53" i="30"/>
  <c r="N53" i="30"/>
  <c r="M53" i="30"/>
  <c r="L53" i="30"/>
  <c r="K53" i="30"/>
  <c r="J53" i="30"/>
  <c r="I53" i="30"/>
  <c r="H53" i="30"/>
  <c r="G53" i="30"/>
  <c r="F53" i="30"/>
  <c r="E53" i="30"/>
  <c r="D53" i="30"/>
  <c r="C53" i="30"/>
  <c r="B50" i="30"/>
  <c r="B49" i="30"/>
  <c r="B48" i="30"/>
  <c r="B47" i="30"/>
  <c r="B46" i="30"/>
  <c r="B45" i="30"/>
  <c r="J44" i="30"/>
  <c r="K44" i="30" s="1"/>
  <c r="B44" i="30"/>
  <c r="B43" i="30"/>
  <c r="J42" i="30"/>
  <c r="K42" i="30" s="1"/>
  <c r="L42" i="30" s="1"/>
  <c r="B42" i="30"/>
  <c r="J41" i="30"/>
  <c r="K41" i="30" s="1"/>
  <c r="B41" i="30"/>
  <c r="O40" i="30"/>
  <c r="N40" i="30"/>
  <c r="M40" i="30"/>
  <c r="L40" i="30"/>
  <c r="K40" i="30"/>
  <c r="J40" i="30"/>
  <c r="I40" i="30"/>
  <c r="H40" i="30"/>
  <c r="G40" i="30"/>
  <c r="F40" i="30"/>
  <c r="E40" i="30"/>
  <c r="D40" i="30"/>
  <c r="C40" i="30"/>
  <c r="B36" i="30"/>
  <c r="B35" i="30"/>
  <c r="B34" i="30"/>
  <c r="B33" i="30"/>
  <c r="B32" i="30"/>
  <c r="B31" i="30"/>
  <c r="B30" i="30"/>
  <c r="B29" i="30"/>
  <c r="B28" i="30"/>
  <c r="H28" i="30" s="1"/>
  <c r="I27" i="30"/>
  <c r="B27" i="30"/>
  <c r="H27" i="30" s="1"/>
  <c r="O26" i="30"/>
  <c r="N26" i="30"/>
  <c r="M26" i="30"/>
  <c r="L26" i="30"/>
  <c r="K26" i="30"/>
  <c r="J26" i="30"/>
  <c r="I26" i="30"/>
  <c r="H26" i="30"/>
  <c r="G26" i="30"/>
  <c r="F26" i="30"/>
  <c r="E26" i="30"/>
  <c r="D26" i="30"/>
  <c r="C26" i="30"/>
  <c r="O14" i="30"/>
  <c r="N14" i="30"/>
  <c r="M14" i="30"/>
  <c r="L14" i="30"/>
  <c r="K14" i="30"/>
  <c r="J14" i="30"/>
  <c r="I14" i="30"/>
  <c r="G13" i="30"/>
  <c r="F13" i="30"/>
  <c r="E13" i="30"/>
  <c r="D13" i="30"/>
  <c r="C13" i="30"/>
  <c r="G12" i="30"/>
  <c r="F12" i="30"/>
  <c r="E12" i="30"/>
  <c r="D12" i="30"/>
  <c r="C12" i="30"/>
  <c r="G9" i="30"/>
  <c r="F9" i="30"/>
  <c r="E9" i="30"/>
  <c r="D9" i="30"/>
  <c r="C9" i="30"/>
  <c r="O8" i="30"/>
  <c r="O19" i="30" s="1"/>
  <c r="N8" i="30"/>
  <c r="N19" i="30" s="1"/>
  <c r="M8" i="30"/>
  <c r="M19" i="30" s="1"/>
  <c r="L8" i="30"/>
  <c r="L19" i="30" s="1"/>
  <c r="K8" i="30"/>
  <c r="K19" i="30" s="1"/>
  <c r="J8" i="30"/>
  <c r="J19" i="30" s="1"/>
  <c r="I8" i="30"/>
  <c r="I19" i="30" s="1"/>
  <c r="H8" i="30"/>
  <c r="G8" i="30"/>
  <c r="F8" i="30"/>
  <c r="E8" i="30"/>
  <c r="D8" i="30"/>
  <c r="O7" i="30"/>
  <c r="N7" i="30"/>
  <c r="M7" i="30"/>
  <c r="L7" i="30"/>
  <c r="K7" i="30"/>
  <c r="K28" i="30" s="1"/>
  <c r="J7" i="30"/>
  <c r="J30" i="30" s="1"/>
  <c r="I7" i="30"/>
  <c r="I30" i="30" s="1"/>
  <c r="H7" i="30"/>
  <c r="G7" i="30"/>
  <c r="G10" i="30" s="1"/>
  <c r="F7" i="30"/>
  <c r="F10" i="30" s="1"/>
  <c r="E7" i="30"/>
  <c r="E10" i="30" s="1"/>
  <c r="D7" i="30"/>
  <c r="D10" i="30" s="1"/>
  <c r="C7" i="30"/>
  <c r="O6" i="30"/>
  <c r="N6" i="30"/>
  <c r="M6" i="30"/>
  <c r="L6" i="30"/>
  <c r="K6" i="30"/>
  <c r="J6" i="30"/>
  <c r="I6" i="30"/>
  <c r="H6" i="30"/>
  <c r="G6" i="30"/>
  <c r="F6" i="30"/>
  <c r="E6" i="30"/>
  <c r="D6" i="30"/>
  <c r="C6" i="30"/>
  <c r="E18" i="14" l="1"/>
  <c r="F18" i="14" s="1"/>
  <c r="G18" i="14" s="1"/>
  <c r="H18" i="14" s="1"/>
  <c r="I18" i="14" s="1"/>
  <c r="I28" i="30"/>
  <c r="I70" i="30" s="1"/>
  <c r="U36" i="31"/>
  <c r="H18" i="27"/>
  <c r="U36" i="32"/>
  <c r="J28" i="30"/>
  <c r="I69" i="30"/>
  <c r="H71" i="30"/>
  <c r="I37" i="30"/>
  <c r="I9" i="30" s="1"/>
  <c r="I10" i="30" s="1"/>
  <c r="J27" i="30"/>
  <c r="J69" i="30" s="1"/>
  <c r="C10" i="30"/>
  <c r="J71" i="30"/>
  <c r="K56" i="30"/>
  <c r="M42" i="30"/>
  <c r="N42" i="30" s="1"/>
  <c r="O42" i="30" s="1"/>
  <c r="O28" i="30" s="1"/>
  <c r="L28" i="30"/>
  <c r="H37" i="30"/>
  <c r="I72" i="30"/>
  <c r="J57" i="30"/>
  <c r="L41" i="30"/>
  <c r="M41" i="30" s="1"/>
  <c r="N41" i="30" s="1"/>
  <c r="O41" i="30" s="1"/>
  <c r="O27" i="30" s="1"/>
  <c r="K27" i="30"/>
  <c r="L44" i="30"/>
  <c r="M44" i="30" s="1"/>
  <c r="N44" i="30" s="1"/>
  <c r="K30" i="30"/>
  <c r="K70" i="30"/>
  <c r="L55" i="30"/>
  <c r="K54" i="30"/>
  <c r="J70" i="30"/>
  <c r="I71" i="30"/>
  <c r="H72" i="30"/>
  <c r="H79" i="30" s="1"/>
  <c r="M28" i="30" l="1"/>
  <c r="I82" i="30"/>
  <c r="I79" i="30"/>
  <c r="I12" i="30" s="1"/>
  <c r="I81" i="30"/>
  <c r="I83" i="30"/>
  <c r="I84" i="30" s="1"/>
  <c r="I86" i="30" s="1"/>
  <c r="I64" i="30" s="1"/>
  <c r="N28" i="30"/>
  <c r="J37" i="30"/>
  <c r="J83" i="30" s="1"/>
  <c r="N27" i="30"/>
  <c r="M27" i="30"/>
  <c r="I16" i="30"/>
  <c r="K69" i="30"/>
  <c r="L54" i="30"/>
  <c r="H9" i="30"/>
  <c r="H10" i="30" s="1"/>
  <c r="H83" i="30"/>
  <c r="H82" i="30"/>
  <c r="H84" i="30" s="1"/>
  <c r="H86" i="30" s="1"/>
  <c r="K37" i="30"/>
  <c r="N30" i="30"/>
  <c r="N37" i="30" s="1"/>
  <c r="O44" i="30"/>
  <c r="O30" i="30" s="1"/>
  <c r="O37" i="30" s="1"/>
  <c r="J9" i="30"/>
  <c r="J10" i="30" s="1"/>
  <c r="L30" i="30"/>
  <c r="L27" i="30"/>
  <c r="L37" i="30" s="1"/>
  <c r="I13" i="30"/>
  <c r="I15" i="30" s="1"/>
  <c r="K57" i="30"/>
  <c r="J72" i="30"/>
  <c r="J79" i="30" s="1"/>
  <c r="J12" i="30" s="1"/>
  <c r="L56" i="30"/>
  <c r="K71" i="30"/>
  <c r="L70" i="30"/>
  <c r="M55" i="30"/>
  <c r="M30" i="30"/>
  <c r="M37" i="30" s="1"/>
  <c r="J81" i="30" l="1"/>
  <c r="J82" i="30"/>
  <c r="J13" i="30"/>
  <c r="M81" i="30"/>
  <c r="M83" i="30"/>
  <c r="M9" i="30"/>
  <c r="M10" i="30" s="1"/>
  <c r="M82" i="30"/>
  <c r="M13" i="30" s="1"/>
  <c r="O83" i="30"/>
  <c r="O82" i="30"/>
  <c r="O13" i="30" s="1"/>
  <c r="O81" i="30"/>
  <c r="O84" i="30" s="1"/>
  <c r="O9" i="30"/>
  <c r="O10" i="30" s="1"/>
  <c r="N83" i="30"/>
  <c r="N81" i="30"/>
  <c r="N9" i="30"/>
  <c r="N10" i="30" s="1"/>
  <c r="N82" i="30"/>
  <c r="N13" i="30" s="1"/>
  <c r="L9" i="30"/>
  <c r="L10" i="30" s="1"/>
  <c r="L83" i="30"/>
  <c r="L82" i="30"/>
  <c r="L81" i="30"/>
  <c r="I17" i="30"/>
  <c r="I18" i="30"/>
  <c r="K83" i="30"/>
  <c r="K82" i="30"/>
  <c r="K81" i="30"/>
  <c r="K9" i="30"/>
  <c r="K10" i="30" s="1"/>
  <c r="J15" i="30"/>
  <c r="J21" i="30"/>
  <c r="J16" i="30"/>
  <c r="M56" i="30"/>
  <c r="L71" i="30"/>
  <c r="J84" i="30"/>
  <c r="J86" i="30" s="1"/>
  <c r="J64" i="30" s="1"/>
  <c r="N55" i="30"/>
  <c r="M70" i="30"/>
  <c r="L57" i="30"/>
  <c r="K72" i="30"/>
  <c r="K79" i="30" s="1"/>
  <c r="K12" i="30" s="1"/>
  <c r="L69" i="30"/>
  <c r="M54" i="30"/>
  <c r="K16" i="30" l="1"/>
  <c r="K21" i="30"/>
  <c r="N54" i="30"/>
  <c r="M69" i="30"/>
  <c r="N56" i="30"/>
  <c r="M71" i="30"/>
  <c r="N84" i="30"/>
  <c r="L84" i="30"/>
  <c r="M84" i="30"/>
  <c r="M57" i="30"/>
  <c r="L72" i="30"/>
  <c r="L79" i="30" s="1"/>
  <c r="L12" i="30" s="1"/>
  <c r="J18" i="30"/>
  <c r="J17" i="30"/>
  <c r="L13" i="30"/>
  <c r="O55" i="30"/>
  <c r="O70" i="30" s="1"/>
  <c r="N70" i="30"/>
  <c r="K84" i="30"/>
  <c r="K86" i="30" s="1"/>
  <c r="K64" i="30" s="1"/>
  <c r="K13" i="30"/>
  <c r="K15" i="30" s="1"/>
  <c r="L21" i="30" l="1"/>
  <c r="L16" i="30"/>
  <c r="L15" i="30"/>
  <c r="N57" i="30"/>
  <c r="M72" i="30"/>
  <c r="L86" i="30"/>
  <c r="L64" i="30" s="1"/>
  <c r="O54" i="30"/>
  <c r="O69" i="30" s="1"/>
  <c r="N69" i="30"/>
  <c r="K17" i="30"/>
  <c r="K18" i="30"/>
  <c r="O56" i="30"/>
  <c r="O71" i="30" s="1"/>
  <c r="N71" i="30"/>
  <c r="M79" i="30"/>
  <c r="M12" i="30" s="1"/>
  <c r="M86" i="30" l="1"/>
  <c r="M64" i="30" s="1"/>
  <c r="O57" i="30"/>
  <c r="O72" i="30" s="1"/>
  <c r="O79" i="30" s="1"/>
  <c r="N72" i="30"/>
  <c r="N79" i="30" s="1"/>
  <c r="L18" i="30"/>
  <c r="L17" i="30"/>
  <c r="M21" i="30"/>
  <c r="M15" i="30"/>
  <c r="M16" i="30"/>
  <c r="N12" i="30" l="1"/>
  <c r="N86" i="30"/>
  <c r="N64" i="30" s="1"/>
  <c r="O12" i="30"/>
  <c r="O86" i="30"/>
  <c r="O64" i="30" s="1"/>
  <c r="M18" i="30"/>
  <c r="M17" i="30"/>
  <c r="N15" i="30" l="1"/>
  <c r="N16" i="30"/>
  <c r="N21" i="30"/>
  <c r="O21" i="30"/>
  <c r="O15" i="30"/>
  <c r="O16" i="30"/>
  <c r="N18" i="30" l="1"/>
  <c r="N17" i="30"/>
  <c r="O17" i="30"/>
  <c r="O18" i="30"/>
  <c r="E21" i="3" l="1"/>
  <c r="T19" i="29"/>
  <c r="T18" i="29"/>
  <c r="T17" i="29"/>
  <c r="T16" i="29"/>
  <c r="T15" i="29"/>
  <c r="T14" i="29"/>
  <c r="T13" i="29"/>
  <c r="T12" i="29"/>
  <c r="T11" i="29"/>
  <c r="T10" i="29"/>
  <c r="T9" i="29"/>
  <c r="T8" i="29"/>
  <c r="T7" i="29"/>
  <c r="Q6" i="29"/>
  <c r="T6" i="29" s="1"/>
  <c r="C4" i="29"/>
  <c r="C3" i="29"/>
  <c r="E19" i="29" s="1"/>
  <c r="H19" i="29" s="1"/>
  <c r="H23" i="28"/>
  <c r="T19" i="28"/>
  <c r="T18" i="28"/>
  <c r="T17" i="28"/>
  <c r="E17" i="28"/>
  <c r="H17" i="28" s="1"/>
  <c r="T16" i="28"/>
  <c r="T15" i="28"/>
  <c r="T14" i="28"/>
  <c r="T13" i="28"/>
  <c r="T12" i="28"/>
  <c r="T11" i="28"/>
  <c r="T10" i="28"/>
  <c r="T9" i="28"/>
  <c r="T8" i="28"/>
  <c r="T7" i="28"/>
  <c r="T6" i="28"/>
  <c r="C4" i="28"/>
  <c r="C3" i="28"/>
  <c r="E16" i="28" s="1"/>
  <c r="H16" i="28" s="1"/>
  <c r="H124" i="27"/>
  <c r="I124" i="27" s="1"/>
  <c r="J124" i="27" s="1"/>
  <c r="K124" i="27" s="1"/>
  <c r="L124" i="27" s="1"/>
  <c r="M124" i="27" s="1"/>
  <c r="N124" i="27" s="1"/>
  <c r="O124" i="27" s="1"/>
  <c r="H123" i="27"/>
  <c r="I123" i="27" s="1"/>
  <c r="J123" i="27" s="1"/>
  <c r="K123" i="27" s="1"/>
  <c r="L123" i="27" s="1"/>
  <c r="M123" i="27" s="1"/>
  <c r="N123" i="27" s="1"/>
  <c r="O123" i="27" s="1"/>
  <c r="H122" i="27"/>
  <c r="I122" i="27" s="1"/>
  <c r="J122" i="27" s="1"/>
  <c r="K122" i="27" s="1"/>
  <c r="L122" i="27" s="1"/>
  <c r="M122" i="27" s="1"/>
  <c r="N122" i="27" s="1"/>
  <c r="O122" i="27" s="1"/>
  <c r="I116" i="27"/>
  <c r="J116" i="27" s="1"/>
  <c r="K116" i="27" s="1"/>
  <c r="L116" i="27" s="1"/>
  <c r="M116" i="27" s="1"/>
  <c r="N116" i="27" s="1"/>
  <c r="O116" i="27" s="1"/>
  <c r="I114" i="27"/>
  <c r="J114" i="27" s="1"/>
  <c r="K114" i="27" s="1"/>
  <c r="L114" i="27" s="1"/>
  <c r="M114" i="27" s="1"/>
  <c r="N114" i="27" s="1"/>
  <c r="O114" i="27" s="1"/>
  <c r="G114" i="27"/>
  <c r="F114" i="27"/>
  <c r="E114" i="27"/>
  <c r="D114" i="27"/>
  <c r="J113" i="27"/>
  <c r="K113" i="27" s="1"/>
  <c r="L113" i="27" s="1"/>
  <c r="M113" i="27" s="1"/>
  <c r="N113" i="27" s="1"/>
  <c r="O113" i="27" s="1"/>
  <c r="I113" i="27"/>
  <c r="G113" i="27"/>
  <c r="F113" i="27"/>
  <c r="E113" i="27"/>
  <c r="D113" i="27"/>
  <c r="I112" i="27"/>
  <c r="J112" i="27" s="1"/>
  <c r="K112" i="27" s="1"/>
  <c r="L112" i="27" s="1"/>
  <c r="M112" i="27" s="1"/>
  <c r="N112" i="27" s="1"/>
  <c r="O112" i="27" s="1"/>
  <c r="G112" i="27"/>
  <c r="F112" i="27"/>
  <c r="E112" i="27"/>
  <c r="D112" i="27"/>
  <c r="G108" i="27"/>
  <c r="F108" i="27"/>
  <c r="E108" i="27"/>
  <c r="D108" i="27"/>
  <c r="G107" i="27"/>
  <c r="F107" i="27"/>
  <c r="E107" i="27"/>
  <c r="D107" i="27"/>
  <c r="G106" i="27"/>
  <c r="F106" i="27"/>
  <c r="E106" i="27"/>
  <c r="D106" i="27"/>
  <c r="G105" i="27"/>
  <c r="F105" i="27"/>
  <c r="E105" i="27"/>
  <c r="D105" i="27"/>
  <c r="G104" i="27"/>
  <c r="F104" i="27"/>
  <c r="E104" i="27"/>
  <c r="D104" i="27"/>
  <c r="G103" i="27"/>
  <c r="F103" i="27"/>
  <c r="E103" i="27"/>
  <c r="D103" i="27"/>
  <c r="G102" i="27"/>
  <c r="F102" i="27"/>
  <c r="E102" i="27"/>
  <c r="D102" i="27"/>
  <c r="D141" i="24" s="1"/>
  <c r="E141" i="24" s="1"/>
  <c r="G101" i="27"/>
  <c r="F101" i="27"/>
  <c r="E101" i="27"/>
  <c r="D101" i="27"/>
  <c r="G98" i="27"/>
  <c r="F98" i="27"/>
  <c r="G96" i="27"/>
  <c r="F96" i="27"/>
  <c r="G94" i="27"/>
  <c r="F94" i="27"/>
  <c r="G92" i="27"/>
  <c r="F92" i="27"/>
  <c r="G90" i="27"/>
  <c r="F90" i="27"/>
  <c r="AB88" i="27"/>
  <c r="I88" i="27"/>
  <c r="H88" i="27"/>
  <c r="V85" i="27"/>
  <c r="V86" i="27" s="1"/>
  <c r="I87" i="27" s="1"/>
  <c r="I128" i="24" s="1"/>
  <c r="G85" i="27"/>
  <c r="AB83" i="27"/>
  <c r="H83" i="27"/>
  <c r="G83" i="27"/>
  <c r="F83" i="27"/>
  <c r="E83" i="27"/>
  <c r="D83" i="27"/>
  <c r="C83" i="27"/>
  <c r="AB82" i="27"/>
  <c r="AB84" i="27" s="1"/>
  <c r="H76" i="27"/>
  <c r="I76" i="27" s="1"/>
  <c r="G70" i="27"/>
  <c r="F70" i="27"/>
  <c r="E70" i="27"/>
  <c r="D70" i="27"/>
  <c r="C70" i="27"/>
  <c r="G69" i="27"/>
  <c r="H69" i="27" s="1"/>
  <c r="F66" i="27"/>
  <c r="G66" i="27" s="1"/>
  <c r="H66" i="27" s="1"/>
  <c r="I66" i="27" s="1"/>
  <c r="J66" i="27" s="1"/>
  <c r="K66" i="27" s="1"/>
  <c r="L66" i="27" s="1"/>
  <c r="M66" i="27" s="1"/>
  <c r="N66" i="27" s="1"/>
  <c r="O66" i="27" s="1"/>
  <c r="B66" i="27"/>
  <c r="F65" i="27"/>
  <c r="G65" i="27" s="1"/>
  <c r="H65" i="27" s="1"/>
  <c r="I65" i="27" s="1"/>
  <c r="J65" i="27" s="1"/>
  <c r="K65" i="27" s="1"/>
  <c r="L65" i="27" s="1"/>
  <c r="M65" i="27" s="1"/>
  <c r="N65" i="27" s="1"/>
  <c r="O65" i="27" s="1"/>
  <c r="B65" i="27"/>
  <c r="F64" i="27"/>
  <c r="G64" i="27" s="1"/>
  <c r="H64" i="27" s="1"/>
  <c r="I64" i="27" s="1"/>
  <c r="J64" i="27" s="1"/>
  <c r="K64" i="27" s="1"/>
  <c r="L64" i="27" s="1"/>
  <c r="M64" i="27" s="1"/>
  <c r="N64" i="27" s="1"/>
  <c r="O64" i="27" s="1"/>
  <c r="B64" i="27"/>
  <c r="B61" i="27"/>
  <c r="B60" i="27"/>
  <c r="B59" i="27"/>
  <c r="B58" i="27"/>
  <c r="B57" i="27"/>
  <c r="B56" i="27"/>
  <c r="B55" i="27"/>
  <c r="B54" i="27"/>
  <c r="B53" i="27"/>
  <c r="B52" i="27"/>
  <c r="O50" i="27"/>
  <c r="N50" i="27"/>
  <c r="M50" i="27"/>
  <c r="L50" i="27"/>
  <c r="K50" i="27"/>
  <c r="J50" i="27"/>
  <c r="I50" i="27"/>
  <c r="H50" i="27"/>
  <c r="G50" i="27"/>
  <c r="F50" i="27"/>
  <c r="E50" i="27"/>
  <c r="D50" i="27"/>
  <c r="C50" i="27"/>
  <c r="Y45" i="27"/>
  <c r="I45" i="27"/>
  <c r="J45" i="27" s="1"/>
  <c r="K45" i="27" s="1"/>
  <c r="L45" i="27" s="1"/>
  <c r="M45" i="27" s="1"/>
  <c r="N45" i="27" s="1"/>
  <c r="F44" i="27"/>
  <c r="F43" i="27"/>
  <c r="V43" i="27" s="1"/>
  <c r="F42" i="27"/>
  <c r="F41" i="27"/>
  <c r="H39" i="27"/>
  <c r="I39" i="27" s="1"/>
  <c r="J39" i="27" s="1"/>
  <c r="K39" i="27" s="1"/>
  <c r="L39" i="27" s="1"/>
  <c r="M39" i="27" s="1"/>
  <c r="N39" i="27" s="1"/>
  <c r="O39" i="27" s="1"/>
  <c r="G38" i="27"/>
  <c r="H38" i="27" s="1"/>
  <c r="I38" i="27" s="1"/>
  <c r="J38" i="27" s="1"/>
  <c r="K38" i="27" s="1"/>
  <c r="L38" i="27" s="1"/>
  <c r="M38" i="27" s="1"/>
  <c r="N38" i="27" s="1"/>
  <c r="O38" i="27" s="1"/>
  <c r="N37" i="27"/>
  <c r="M37" i="27"/>
  <c r="L37" i="27"/>
  <c r="G37" i="27"/>
  <c r="H37" i="27" s="1"/>
  <c r="G36" i="27"/>
  <c r="G35" i="27"/>
  <c r="H35" i="27" s="1"/>
  <c r="O32" i="27"/>
  <c r="N32" i="27"/>
  <c r="M32" i="27"/>
  <c r="L32" i="27"/>
  <c r="K32" i="27"/>
  <c r="J32" i="27"/>
  <c r="I32" i="27"/>
  <c r="H32" i="27"/>
  <c r="G32" i="27"/>
  <c r="F32" i="27"/>
  <c r="E32" i="27"/>
  <c r="D32" i="27"/>
  <c r="C32" i="27"/>
  <c r="O28" i="27"/>
  <c r="N28" i="27"/>
  <c r="M28" i="27"/>
  <c r="L28" i="27"/>
  <c r="K28" i="27"/>
  <c r="J28" i="27"/>
  <c r="I28" i="27"/>
  <c r="H28" i="27"/>
  <c r="G28" i="27"/>
  <c r="F28" i="27"/>
  <c r="E28" i="27"/>
  <c r="D28" i="27"/>
  <c r="C28" i="27"/>
  <c r="O23" i="27"/>
  <c r="N23" i="27"/>
  <c r="M23" i="27"/>
  <c r="L23" i="27"/>
  <c r="K23" i="27"/>
  <c r="J23" i="27"/>
  <c r="I23" i="27"/>
  <c r="H23" i="27"/>
  <c r="G23" i="27"/>
  <c r="F23" i="27"/>
  <c r="E23" i="27"/>
  <c r="D23" i="27"/>
  <c r="C23" i="27"/>
  <c r="I21" i="27"/>
  <c r="J21" i="27" s="1"/>
  <c r="K21" i="27" s="1"/>
  <c r="L21" i="27" s="1"/>
  <c r="M21" i="27" s="1"/>
  <c r="N21" i="27" s="1"/>
  <c r="O21" i="27" s="1"/>
  <c r="G21" i="27"/>
  <c r="F21" i="27"/>
  <c r="E21" i="27"/>
  <c r="D21" i="27"/>
  <c r="C21" i="27"/>
  <c r="I18" i="27"/>
  <c r="J18" i="27" s="1"/>
  <c r="K18" i="27" s="1"/>
  <c r="L18" i="27" s="1"/>
  <c r="M18" i="27" s="1"/>
  <c r="N18" i="27" s="1"/>
  <c r="O18" i="27" s="1"/>
  <c r="O16" i="27"/>
  <c r="N16" i="27"/>
  <c r="M16" i="27"/>
  <c r="L16" i="27"/>
  <c r="K16" i="27"/>
  <c r="J16" i="27"/>
  <c r="I16" i="27"/>
  <c r="H16" i="27"/>
  <c r="G16" i="27"/>
  <c r="F16" i="27"/>
  <c r="E16" i="27"/>
  <c r="D16" i="27"/>
  <c r="C16" i="27"/>
  <c r="G14" i="27"/>
  <c r="O8" i="27"/>
  <c r="N8" i="27"/>
  <c r="M8" i="27"/>
  <c r="L8" i="27"/>
  <c r="K8" i="27"/>
  <c r="J8" i="27"/>
  <c r="I8" i="27"/>
  <c r="H8" i="27"/>
  <c r="G8" i="27"/>
  <c r="F8" i="27"/>
  <c r="E8" i="27"/>
  <c r="D8" i="27"/>
  <c r="C8" i="27"/>
  <c r="O4" i="27"/>
  <c r="N4" i="27"/>
  <c r="M4" i="27"/>
  <c r="L4" i="27"/>
  <c r="K4" i="27"/>
  <c r="J4" i="27"/>
  <c r="I4" i="27"/>
  <c r="H4" i="27"/>
  <c r="G4" i="27"/>
  <c r="F4" i="27"/>
  <c r="E4" i="27"/>
  <c r="D4" i="27"/>
  <c r="O131" i="26"/>
  <c r="N131" i="26"/>
  <c r="M131" i="26"/>
  <c r="O125" i="26"/>
  <c r="N125" i="26"/>
  <c r="M125" i="26"/>
  <c r="N119" i="26"/>
  <c r="M119" i="26"/>
  <c r="L119" i="26"/>
  <c r="K119" i="26"/>
  <c r="J119" i="26"/>
  <c r="I119" i="26"/>
  <c r="H119" i="26"/>
  <c r="G119" i="26"/>
  <c r="F119" i="26"/>
  <c r="E119" i="26"/>
  <c r="D119" i="26"/>
  <c r="C119" i="26"/>
  <c r="L118" i="26"/>
  <c r="K118" i="26"/>
  <c r="J118" i="26"/>
  <c r="I118" i="26"/>
  <c r="H118" i="26"/>
  <c r="G118" i="26"/>
  <c r="F118" i="26"/>
  <c r="E118" i="26"/>
  <c r="D118" i="26"/>
  <c r="C118" i="26"/>
  <c r="L117" i="26"/>
  <c r="K117" i="26"/>
  <c r="J117" i="26"/>
  <c r="I117" i="26"/>
  <c r="H117" i="26"/>
  <c r="G117" i="26"/>
  <c r="F117" i="26"/>
  <c r="E117" i="26"/>
  <c r="D117" i="26"/>
  <c r="C117" i="26"/>
  <c r="M111" i="26"/>
  <c r="N112" i="26" s="1"/>
  <c r="O113" i="26" s="1"/>
  <c r="O119" i="26" s="1"/>
  <c r="M110" i="26"/>
  <c r="O108" i="26"/>
  <c r="N108" i="26"/>
  <c r="M108" i="26"/>
  <c r="L108" i="26"/>
  <c r="K108" i="26"/>
  <c r="J108" i="26"/>
  <c r="I108" i="26"/>
  <c r="H108" i="26"/>
  <c r="G108" i="26"/>
  <c r="F108" i="26"/>
  <c r="E108" i="26"/>
  <c r="D108" i="26"/>
  <c r="C108" i="26"/>
  <c r="B107" i="26"/>
  <c r="O104" i="26"/>
  <c r="N104" i="26"/>
  <c r="M104" i="26"/>
  <c r="O98" i="26"/>
  <c r="N98" i="26"/>
  <c r="M98" i="26"/>
  <c r="N92" i="26"/>
  <c r="M92" i="26"/>
  <c r="L92" i="26"/>
  <c r="K92" i="26"/>
  <c r="J92" i="26"/>
  <c r="I92" i="26"/>
  <c r="H92" i="26"/>
  <c r="G92" i="26"/>
  <c r="F92" i="26"/>
  <c r="E92" i="26"/>
  <c r="D92" i="26"/>
  <c r="C92" i="26"/>
  <c r="L91" i="26"/>
  <c r="K91" i="26"/>
  <c r="J91" i="26"/>
  <c r="I91" i="26"/>
  <c r="H91" i="26"/>
  <c r="G91" i="26"/>
  <c r="F91" i="26"/>
  <c r="E91" i="26"/>
  <c r="D91" i="26"/>
  <c r="C91" i="26"/>
  <c r="L90" i="26"/>
  <c r="K90" i="26"/>
  <c r="J90" i="26"/>
  <c r="I90" i="26"/>
  <c r="H90" i="26"/>
  <c r="G90" i="26"/>
  <c r="F90" i="26"/>
  <c r="E90" i="26"/>
  <c r="D90" i="26"/>
  <c r="C90" i="26"/>
  <c r="N84" i="26"/>
  <c r="O85" i="26" s="1"/>
  <c r="M84" i="26"/>
  <c r="N83" i="26"/>
  <c r="M83" i="26"/>
  <c r="O81" i="26"/>
  <c r="N81" i="26"/>
  <c r="M81" i="26"/>
  <c r="L81" i="26"/>
  <c r="K81" i="26"/>
  <c r="J81" i="26"/>
  <c r="I81" i="26"/>
  <c r="H81" i="26"/>
  <c r="G81" i="26"/>
  <c r="F81" i="26"/>
  <c r="E81" i="26"/>
  <c r="D81" i="26"/>
  <c r="C81" i="26"/>
  <c r="B80" i="26"/>
  <c r="O77" i="26"/>
  <c r="N77" i="26"/>
  <c r="M77" i="26"/>
  <c r="L77" i="26"/>
  <c r="O71" i="26"/>
  <c r="N71" i="26"/>
  <c r="M71" i="26"/>
  <c r="L71" i="26"/>
  <c r="K71" i="26"/>
  <c r="J71" i="26"/>
  <c r="K65" i="26"/>
  <c r="J65" i="26"/>
  <c r="I65" i="26"/>
  <c r="H65" i="26"/>
  <c r="G65" i="26"/>
  <c r="F65" i="26"/>
  <c r="E65" i="26"/>
  <c r="D65" i="26"/>
  <c r="C65" i="26"/>
  <c r="I64" i="26"/>
  <c r="H64" i="26"/>
  <c r="G64" i="26"/>
  <c r="F64" i="26"/>
  <c r="E64" i="26"/>
  <c r="D64" i="26"/>
  <c r="C64" i="26"/>
  <c r="I63" i="26"/>
  <c r="H63" i="26"/>
  <c r="G63" i="26"/>
  <c r="F63" i="26"/>
  <c r="F5" i="24" s="1"/>
  <c r="F83" i="24" s="1"/>
  <c r="E63" i="26"/>
  <c r="D63" i="26"/>
  <c r="C63" i="26"/>
  <c r="U61" i="26"/>
  <c r="U62" i="26" s="1"/>
  <c r="U60" i="26"/>
  <c r="U58" i="26"/>
  <c r="U57" i="26"/>
  <c r="J57" i="26"/>
  <c r="F22" i="3" s="1"/>
  <c r="J56" i="26"/>
  <c r="F21" i="3" s="1"/>
  <c r="O54" i="26"/>
  <c r="N54" i="26"/>
  <c r="M54" i="26"/>
  <c r="L54" i="26"/>
  <c r="K54" i="26"/>
  <c r="J54" i="26"/>
  <c r="I54" i="26"/>
  <c r="H54" i="26"/>
  <c r="G54" i="26"/>
  <c r="F54" i="26"/>
  <c r="E54" i="26"/>
  <c r="D54" i="26"/>
  <c r="C54" i="26"/>
  <c r="B53" i="26"/>
  <c r="AL46" i="26"/>
  <c r="AK46" i="26"/>
  <c r="AJ46" i="26"/>
  <c r="AI46" i="26"/>
  <c r="AH46" i="26"/>
  <c r="AG46" i="26"/>
  <c r="AF46" i="26"/>
  <c r="AE46" i="26"/>
  <c r="AB46" i="26"/>
  <c r="AA46" i="26"/>
  <c r="Z46" i="26"/>
  <c r="Y46" i="26"/>
  <c r="X46" i="26"/>
  <c r="W46" i="26"/>
  <c r="V46" i="26"/>
  <c r="U46" i="26"/>
  <c r="O45" i="26"/>
  <c r="N45" i="26"/>
  <c r="M45" i="26"/>
  <c r="L45" i="26"/>
  <c r="K45" i="26"/>
  <c r="J45" i="26"/>
  <c r="I45" i="26"/>
  <c r="H45" i="26"/>
  <c r="O44" i="26"/>
  <c r="N44" i="26"/>
  <c r="M44" i="26"/>
  <c r="L44" i="26"/>
  <c r="K44" i="26"/>
  <c r="J44" i="26"/>
  <c r="I44" i="26"/>
  <c r="H44" i="26"/>
  <c r="O43" i="26"/>
  <c r="N43" i="26"/>
  <c r="M43" i="26"/>
  <c r="L43" i="26"/>
  <c r="K43" i="26"/>
  <c r="J43" i="26"/>
  <c r="I43" i="26"/>
  <c r="H43" i="26"/>
  <c r="H29" i="26" s="1"/>
  <c r="H13" i="26" s="1"/>
  <c r="O42" i="26"/>
  <c r="O46" i="26" s="1"/>
  <c r="N42" i="26"/>
  <c r="N46" i="26" s="1"/>
  <c r="M42" i="26"/>
  <c r="L42" i="26"/>
  <c r="K42" i="26"/>
  <c r="J42" i="26"/>
  <c r="I42" i="26"/>
  <c r="I46" i="26" s="1"/>
  <c r="H42" i="26"/>
  <c r="AL40" i="26"/>
  <c r="AK40" i="26"/>
  <c r="AJ40" i="26"/>
  <c r="AI40" i="26"/>
  <c r="AH40" i="26"/>
  <c r="AG40" i="26"/>
  <c r="AF40" i="26"/>
  <c r="AE40" i="26"/>
  <c r="AB40" i="26"/>
  <c r="AA40" i="26"/>
  <c r="Z40" i="26"/>
  <c r="Y40" i="26"/>
  <c r="X40" i="26"/>
  <c r="W40" i="26"/>
  <c r="V40" i="26"/>
  <c r="U40" i="26"/>
  <c r="O39" i="26"/>
  <c r="N39" i="26"/>
  <c r="M39" i="26"/>
  <c r="L39" i="26"/>
  <c r="K39" i="26"/>
  <c r="J39" i="26"/>
  <c r="I39" i="26"/>
  <c r="H39" i="26"/>
  <c r="O38" i="26"/>
  <c r="N38" i="26"/>
  <c r="M38" i="26"/>
  <c r="L38" i="26"/>
  <c r="K38" i="26"/>
  <c r="J38" i="26"/>
  <c r="I38" i="26"/>
  <c r="H38" i="26"/>
  <c r="O37" i="26"/>
  <c r="N37" i="26"/>
  <c r="N40" i="26" s="1"/>
  <c r="M37" i="26"/>
  <c r="M40" i="26" s="1"/>
  <c r="L37" i="26"/>
  <c r="L40" i="26" s="1"/>
  <c r="K37" i="26"/>
  <c r="K40" i="26" s="1"/>
  <c r="J37" i="26"/>
  <c r="I37" i="26"/>
  <c r="H37" i="26"/>
  <c r="H36" i="26"/>
  <c r="F34" i="26"/>
  <c r="E34" i="26"/>
  <c r="D34" i="26"/>
  <c r="C34" i="26"/>
  <c r="G33" i="26"/>
  <c r="F33" i="26"/>
  <c r="E33" i="26"/>
  <c r="D33" i="26"/>
  <c r="C33" i="26"/>
  <c r="F32" i="26"/>
  <c r="E32" i="26"/>
  <c r="E81" i="27" s="1"/>
  <c r="D32" i="26"/>
  <c r="D81" i="27" s="1"/>
  <c r="C32" i="26"/>
  <c r="C85" i="27" s="1"/>
  <c r="G31" i="26"/>
  <c r="H30" i="26"/>
  <c r="H14" i="26" s="1"/>
  <c r="G30" i="26"/>
  <c r="H28" i="26"/>
  <c r="I29" i="26" s="1"/>
  <c r="J30" i="26" s="1"/>
  <c r="J14" i="26" s="1"/>
  <c r="H27" i="26"/>
  <c r="I28" i="26" s="1"/>
  <c r="H26" i="26"/>
  <c r="H25" i="26"/>
  <c r="O23" i="26"/>
  <c r="N23" i="26"/>
  <c r="M23" i="26"/>
  <c r="L23" i="26"/>
  <c r="K23" i="26"/>
  <c r="J23" i="26"/>
  <c r="I23" i="26"/>
  <c r="H23" i="26"/>
  <c r="G23" i="26"/>
  <c r="F23" i="26"/>
  <c r="E23" i="26"/>
  <c r="D23" i="26"/>
  <c r="C23" i="26"/>
  <c r="A21" i="26"/>
  <c r="B22" i="26" s="1"/>
  <c r="H15" i="26"/>
  <c r="G15" i="26"/>
  <c r="F15" i="26"/>
  <c r="E15" i="26"/>
  <c r="D15" i="26"/>
  <c r="C15" i="26"/>
  <c r="F14" i="26"/>
  <c r="E14" i="26"/>
  <c r="D14" i="26"/>
  <c r="C14" i="26"/>
  <c r="G13" i="26"/>
  <c r="F13" i="26"/>
  <c r="E13" i="26"/>
  <c r="D13" i="26"/>
  <c r="C13" i="26"/>
  <c r="H12" i="26"/>
  <c r="G12" i="26"/>
  <c r="F12" i="26"/>
  <c r="E12" i="26"/>
  <c r="D12" i="26"/>
  <c r="C12" i="26"/>
  <c r="H11" i="26"/>
  <c r="G11" i="26"/>
  <c r="F11" i="26"/>
  <c r="E11" i="26"/>
  <c r="D11" i="26"/>
  <c r="C11" i="26"/>
  <c r="H10" i="26"/>
  <c r="G10" i="26"/>
  <c r="F10" i="26"/>
  <c r="E10" i="26"/>
  <c r="D10" i="26"/>
  <c r="C10" i="26"/>
  <c r="H9" i="26"/>
  <c r="G9" i="26"/>
  <c r="F9" i="26"/>
  <c r="E9" i="26"/>
  <c r="E17" i="26" s="1"/>
  <c r="D9" i="26"/>
  <c r="C9" i="26"/>
  <c r="C17" i="26" s="1"/>
  <c r="O7" i="26"/>
  <c r="N7" i="26"/>
  <c r="M7" i="26"/>
  <c r="L7" i="26"/>
  <c r="K7" i="26"/>
  <c r="J7" i="26"/>
  <c r="I7" i="26"/>
  <c r="H7" i="26"/>
  <c r="G7" i="26"/>
  <c r="F7" i="26"/>
  <c r="E7" i="26"/>
  <c r="D7" i="26"/>
  <c r="C7" i="26"/>
  <c r="G160" i="24"/>
  <c r="F160" i="24"/>
  <c r="E160" i="24"/>
  <c r="D160" i="24"/>
  <c r="C160" i="24"/>
  <c r="C149" i="24"/>
  <c r="B148" i="24"/>
  <c r="D147" i="24"/>
  <c r="D146" i="24"/>
  <c r="D145" i="24"/>
  <c r="D143" i="24"/>
  <c r="E143" i="24" s="1"/>
  <c r="F143" i="24" s="1"/>
  <c r="G143" i="24" s="1"/>
  <c r="D142" i="24"/>
  <c r="D140" i="24"/>
  <c r="C136" i="24"/>
  <c r="B135" i="24"/>
  <c r="B134" i="24"/>
  <c r="B133" i="24"/>
  <c r="B132" i="24"/>
  <c r="B131" i="24"/>
  <c r="B130" i="24"/>
  <c r="O124" i="24"/>
  <c r="N124" i="24"/>
  <c r="M124" i="24"/>
  <c r="L124" i="24"/>
  <c r="K124" i="24"/>
  <c r="J124" i="24"/>
  <c r="H124" i="24"/>
  <c r="G124" i="24"/>
  <c r="F124" i="24"/>
  <c r="O106" i="24"/>
  <c r="N106" i="24"/>
  <c r="M106" i="24"/>
  <c r="L106" i="24"/>
  <c r="K106" i="24"/>
  <c r="J106" i="24"/>
  <c r="I106" i="24"/>
  <c r="H106" i="24"/>
  <c r="G106" i="24"/>
  <c r="F106" i="24"/>
  <c r="E106" i="24"/>
  <c r="D106" i="24"/>
  <c r="C106" i="24"/>
  <c r="O105" i="24"/>
  <c r="N105" i="24"/>
  <c r="M105" i="24"/>
  <c r="L105" i="24"/>
  <c r="K105" i="24"/>
  <c r="J105" i="24"/>
  <c r="I105" i="24"/>
  <c r="H105" i="24"/>
  <c r="G105" i="24"/>
  <c r="F105" i="24"/>
  <c r="E105" i="24"/>
  <c r="D105" i="24"/>
  <c r="C105" i="24"/>
  <c r="O104" i="24"/>
  <c r="N104" i="24"/>
  <c r="M104" i="24"/>
  <c r="L104" i="24"/>
  <c r="K104" i="24"/>
  <c r="J104" i="24"/>
  <c r="I104" i="24"/>
  <c r="H104" i="24"/>
  <c r="G104" i="24"/>
  <c r="F104" i="24"/>
  <c r="E104" i="24"/>
  <c r="D104" i="24"/>
  <c r="C104" i="24"/>
  <c r="O103" i="24"/>
  <c r="N103" i="24"/>
  <c r="M103" i="24"/>
  <c r="L103" i="24"/>
  <c r="K103" i="24"/>
  <c r="J103" i="24"/>
  <c r="I103" i="24"/>
  <c r="H103" i="24"/>
  <c r="B103" i="24"/>
  <c r="O102" i="24"/>
  <c r="N102" i="24"/>
  <c r="M102" i="24"/>
  <c r="L102" i="24"/>
  <c r="K102" i="24"/>
  <c r="J102" i="24"/>
  <c r="I102" i="24"/>
  <c r="H102" i="24"/>
  <c r="B102" i="24"/>
  <c r="O101" i="24"/>
  <c r="N101" i="24"/>
  <c r="M101" i="24"/>
  <c r="L101" i="24"/>
  <c r="K101" i="24"/>
  <c r="J101" i="24"/>
  <c r="I101" i="24"/>
  <c r="H101" i="24"/>
  <c r="B101" i="24"/>
  <c r="O100" i="24"/>
  <c r="N100" i="24"/>
  <c r="M100" i="24"/>
  <c r="L100" i="24"/>
  <c r="K100" i="24"/>
  <c r="J100" i="24"/>
  <c r="I100" i="24"/>
  <c r="H100" i="24"/>
  <c r="B100" i="24"/>
  <c r="O99" i="24"/>
  <c r="N99" i="24"/>
  <c r="M99" i="24"/>
  <c r="L99" i="24"/>
  <c r="K99" i="24"/>
  <c r="J99" i="24"/>
  <c r="I99" i="24"/>
  <c r="H99" i="24"/>
  <c r="B99" i="24"/>
  <c r="O98" i="24"/>
  <c r="N98" i="24"/>
  <c r="M98" i="24"/>
  <c r="L98" i="24"/>
  <c r="K98" i="24"/>
  <c r="J98" i="24"/>
  <c r="I98" i="24"/>
  <c r="H98" i="24"/>
  <c r="G98" i="24"/>
  <c r="F98" i="24"/>
  <c r="E98" i="24"/>
  <c r="D98" i="24"/>
  <c r="C98" i="24"/>
  <c r="B98" i="24"/>
  <c r="O97" i="24"/>
  <c r="N97" i="24"/>
  <c r="M97" i="24"/>
  <c r="L97" i="24"/>
  <c r="K97" i="24"/>
  <c r="J97" i="24"/>
  <c r="I97" i="24"/>
  <c r="H97" i="24"/>
  <c r="G97" i="24"/>
  <c r="F97" i="24"/>
  <c r="E97" i="24"/>
  <c r="D97" i="24"/>
  <c r="C97" i="24"/>
  <c r="B97" i="24"/>
  <c r="O96" i="24"/>
  <c r="N96" i="24"/>
  <c r="M96" i="24"/>
  <c r="L96" i="24"/>
  <c r="K96" i="24"/>
  <c r="J96" i="24"/>
  <c r="I96" i="24"/>
  <c r="H96" i="24"/>
  <c r="G96" i="24"/>
  <c r="F96" i="24"/>
  <c r="E96" i="24"/>
  <c r="D96" i="24"/>
  <c r="C96" i="24"/>
  <c r="B96" i="24"/>
  <c r="O95" i="24"/>
  <c r="N95" i="24"/>
  <c r="M95" i="24"/>
  <c r="L95" i="24"/>
  <c r="K95" i="24"/>
  <c r="J95" i="24"/>
  <c r="I95" i="24"/>
  <c r="H95" i="24"/>
  <c r="G95" i="24"/>
  <c r="F95" i="24"/>
  <c r="E95" i="24"/>
  <c r="D95" i="24"/>
  <c r="C95" i="24"/>
  <c r="B95" i="24"/>
  <c r="O94" i="24"/>
  <c r="N94" i="24"/>
  <c r="M94" i="24"/>
  <c r="L94" i="24"/>
  <c r="K94" i="24"/>
  <c r="J94" i="24"/>
  <c r="I94" i="24"/>
  <c r="H94" i="24"/>
  <c r="G94" i="24"/>
  <c r="F94" i="24"/>
  <c r="E94" i="24"/>
  <c r="D94" i="24"/>
  <c r="C94" i="24"/>
  <c r="B94" i="24"/>
  <c r="K161" i="24"/>
  <c r="J161" i="24"/>
  <c r="I161" i="24"/>
  <c r="H68" i="24"/>
  <c r="H66" i="24"/>
  <c r="I66" i="24" s="1"/>
  <c r="J66" i="24" s="1"/>
  <c r="K66" i="24" s="1"/>
  <c r="L66" i="24" s="1"/>
  <c r="M66" i="24" s="1"/>
  <c r="N66" i="24" s="1"/>
  <c r="O66" i="24" s="1"/>
  <c r="H65" i="24"/>
  <c r="M65" i="24" s="1"/>
  <c r="N65" i="24" s="1"/>
  <c r="O65" i="24" s="1"/>
  <c r="H64" i="24"/>
  <c r="O57" i="24"/>
  <c r="N57" i="24"/>
  <c r="M57" i="24"/>
  <c r="L57" i="24"/>
  <c r="K57" i="24"/>
  <c r="J57" i="24"/>
  <c r="I57" i="24"/>
  <c r="H57" i="24"/>
  <c r="G57" i="24"/>
  <c r="F57" i="24"/>
  <c r="E57" i="24"/>
  <c r="D57" i="24"/>
  <c r="C57" i="24"/>
  <c r="B57" i="24"/>
  <c r="O56" i="24"/>
  <c r="N56" i="24"/>
  <c r="M56" i="24"/>
  <c r="L56" i="24"/>
  <c r="K56" i="24"/>
  <c r="J56" i="24"/>
  <c r="I56" i="24"/>
  <c r="H56" i="24"/>
  <c r="G56" i="24"/>
  <c r="F56" i="24"/>
  <c r="E56" i="24"/>
  <c r="D56" i="24"/>
  <c r="C56" i="24"/>
  <c r="B56" i="24"/>
  <c r="O55" i="24"/>
  <c r="N55" i="24"/>
  <c r="M55" i="24"/>
  <c r="L55" i="24"/>
  <c r="K55" i="24"/>
  <c r="J55" i="24"/>
  <c r="I55" i="24"/>
  <c r="H55" i="24"/>
  <c r="G55" i="24"/>
  <c r="F55" i="24"/>
  <c r="E55" i="24"/>
  <c r="D55" i="24"/>
  <c r="C55" i="24"/>
  <c r="B55" i="24"/>
  <c r="O54" i="24"/>
  <c r="N54" i="24"/>
  <c r="M54" i="24"/>
  <c r="L54" i="24"/>
  <c r="K54" i="24"/>
  <c r="J54" i="24"/>
  <c r="I54" i="24"/>
  <c r="H54" i="24"/>
  <c r="G54" i="24"/>
  <c r="F54" i="24"/>
  <c r="E54" i="24"/>
  <c r="D54" i="24"/>
  <c r="C54" i="24"/>
  <c r="B54" i="24"/>
  <c r="O53" i="24"/>
  <c r="N53" i="24"/>
  <c r="M53" i="24"/>
  <c r="L53" i="24"/>
  <c r="K53" i="24"/>
  <c r="J53" i="24"/>
  <c r="I53" i="24"/>
  <c r="H53" i="24"/>
  <c r="G53" i="24"/>
  <c r="F53" i="24"/>
  <c r="E53" i="24"/>
  <c r="D53" i="24"/>
  <c r="C53" i="24"/>
  <c r="B53" i="24"/>
  <c r="O52" i="24"/>
  <c r="N52" i="24"/>
  <c r="M52" i="24"/>
  <c r="L52" i="24"/>
  <c r="K52" i="24"/>
  <c r="J52" i="24"/>
  <c r="I52" i="24"/>
  <c r="H52" i="24"/>
  <c r="G52" i="24"/>
  <c r="F52" i="24"/>
  <c r="E52" i="24"/>
  <c r="D52" i="24"/>
  <c r="C52" i="24"/>
  <c r="B52" i="24"/>
  <c r="O51" i="24"/>
  <c r="N51" i="24"/>
  <c r="M51" i="24"/>
  <c r="L51" i="24"/>
  <c r="K51" i="24"/>
  <c r="J51" i="24"/>
  <c r="I51" i="24"/>
  <c r="H51" i="24"/>
  <c r="G51" i="24"/>
  <c r="F51" i="24"/>
  <c r="E51" i="24"/>
  <c r="D51" i="24"/>
  <c r="C51" i="24"/>
  <c r="B51" i="24"/>
  <c r="O50" i="24"/>
  <c r="N50" i="24"/>
  <c r="M50" i="24"/>
  <c r="L50" i="24"/>
  <c r="K50" i="24"/>
  <c r="J50" i="24"/>
  <c r="I50" i="24"/>
  <c r="H50" i="24"/>
  <c r="G50" i="24"/>
  <c r="F50" i="24"/>
  <c r="E50" i="24"/>
  <c r="D50" i="24"/>
  <c r="C50" i="24"/>
  <c r="B50" i="24"/>
  <c r="O49" i="24"/>
  <c r="N49" i="24"/>
  <c r="M49" i="24"/>
  <c r="L49" i="24"/>
  <c r="K49" i="24"/>
  <c r="J49" i="24"/>
  <c r="I49" i="24"/>
  <c r="H49" i="24"/>
  <c r="G49" i="24"/>
  <c r="F49" i="24"/>
  <c r="E49" i="24"/>
  <c r="D49" i="24"/>
  <c r="C49" i="24"/>
  <c r="B49" i="24"/>
  <c r="O48" i="24"/>
  <c r="N48" i="24"/>
  <c r="M48" i="24"/>
  <c r="L48" i="24"/>
  <c r="K48" i="24"/>
  <c r="J48" i="24"/>
  <c r="I48" i="24"/>
  <c r="H48" i="24"/>
  <c r="G48" i="24"/>
  <c r="F48" i="24"/>
  <c r="E48" i="24"/>
  <c r="D48" i="24"/>
  <c r="C48" i="24"/>
  <c r="B48" i="24"/>
  <c r="O43" i="24"/>
  <c r="N43" i="24"/>
  <c r="M43" i="24"/>
  <c r="L43" i="24"/>
  <c r="K43" i="24"/>
  <c r="J43" i="24"/>
  <c r="I43" i="24"/>
  <c r="H43" i="24"/>
  <c r="B43" i="24"/>
  <c r="O42" i="24"/>
  <c r="N42" i="24"/>
  <c r="M42" i="24"/>
  <c r="L42" i="24"/>
  <c r="K42" i="24"/>
  <c r="J42" i="24"/>
  <c r="I42" i="24"/>
  <c r="H42" i="24"/>
  <c r="B42" i="24"/>
  <c r="O41" i="24"/>
  <c r="N41" i="24"/>
  <c r="M41" i="24"/>
  <c r="L41" i="24"/>
  <c r="K41" i="24"/>
  <c r="J41" i="24"/>
  <c r="I41" i="24"/>
  <c r="H41" i="24"/>
  <c r="B41" i="24"/>
  <c r="O40" i="24"/>
  <c r="N40" i="24"/>
  <c r="M40" i="24"/>
  <c r="L40" i="24"/>
  <c r="K40" i="24"/>
  <c r="J40" i="24"/>
  <c r="I40" i="24"/>
  <c r="H40" i="24"/>
  <c r="B40" i="24"/>
  <c r="O39" i="24"/>
  <c r="N39" i="24"/>
  <c r="M39" i="24"/>
  <c r="L39" i="24"/>
  <c r="K39" i="24"/>
  <c r="J39" i="24"/>
  <c r="I39" i="24"/>
  <c r="H39" i="24"/>
  <c r="B39" i="24"/>
  <c r="O38" i="24"/>
  <c r="N38" i="24"/>
  <c r="M38" i="24"/>
  <c r="L38" i="24"/>
  <c r="K38" i="24"/>
  <c r="J38" i="24"/>
  <c r="I38" i="24"/>
  <c r="H38" i="24"/>
  <c r="G38" i="24"/>
  <c r="F38" i="24"/>
  <c r="E38" i="24"/>
  <c r="D38" i="24"/>
  <c r="C38" i="24"/>
  <c r="B38" i="24"/>
  <c r="O37" i="24"/>
  <c r="N37" i="24"/>
  <c r="M37" i="24"/>
  <c r="L37" i="24"/>
  <c r="K37" i="24"/>
  <c r="J37" i="24"/>
  <c r="I37" i="24"/>
  <c r="H37" i="24"/>
  <c r="G37" i="24"/>
  <c r="F37" i="24"/>
  <c r="E37" i="24"/>
  <c r="D37" i="24"/>
  <c r="C37" i="24"/>
  <c r="B37" i="24"/>
  <c r="O36" i="24"/>
  <c r="N36" i="24"/>
  <c r="M36" i="24"/>
  <c r="L36" i="24"/>
  <c r="K36" i="24"/>
  <c r="J36" i="24"/>
  <c r="I36" i="24"/>
  <c r="H36" i="24"/>
  <c r="G36" i="24"/>
  <c r="F36" i="24"/>
  <c r="E36" i="24"/>
  <c r="D36" i="24"/>
  <c r="C36" i="24"/>
  <c r="B36" i="24"/>
  <c r="O35" i="24"/>
  <c r="N35" i="24"/>
  <c r="M35" i="24"/>
  <c r="L35" i="24"/>
  <c r="K35" i="24"/>
  <c r="J35" i="24"/>
  <c r="I35" i="24"/>
  <c r="H35" i="24"/>
  <c r="G35" i="24"/>
  <c r="F35" i="24"/>
  <c r="E35" i="24"/>
  <c r="D35" i="24"/>
  <c r="C35" i="24"/>
  <c r="B35" i="24"/>
  <c r="O34" i="24"/>
  <c r="N34" i="24"/>
  <c r="M34" i="24"/>
  <c r="L34" i="24"/>
  <c r="K34" i="24"/>
  <c r="J34" i="24"/>
  <c r="I34" i="24"/>
  <c r="I60" i="24" s="1"/>
  <c r="H34" i="24"/>
  <c r="G34" i="24"/>
  <c r="F34" i="24"/>
  <c r="E34" i="24"/>
  <c r="D34" i="24"/>
  <c r="C34" i="24"/>
  <c r="B34" i="24"/>
  <c r="N30" i="24"/>
  <c r="M30" i="24"/>
  <c r="L30" i="24"/>
  <c r="K30" i="24"/>
  <c r="J30" i="24"/>
  <c r="I30" i="24"/>
  <c r="H30" i="24"/>
  <c r="G30" i="24"/>
  <c r="F30" i="24"/>
  <c r="E30" i="24"/>
  <c r="D30" i="24"/>
  <c r="C30" i="24"/>
  <c r="M29" i="24"/>
  <c r="L29" i="24"/>
  <c r="K29" i="24"/>
  <c r="J29" i="24"/>
  <c r="I29" i="24"/>
  <c r="H29" i="24"/>
  <c r="G29" i="24"/>
  <c r="F29" i="24"/>
  <c r="E29" i="24"/>
  <c r="D29" i="24"/>
  <c r="C29" i="24"/>
  <c r="L28" i="24"/>
  <c r="K28" i="24"/>
  <c r="J28" i="24"/>
  <c r="I28" i="24"/>
  <c r="H28" i="24"/>
  <c r="G28" i="24"/>
  <c r="F28" i="24"/>
  <c r="E28" i="24"/>
  <c r="D28" i="24"/>
  <c r="C28" i="24"/>
  <c r="K27" i="24"/>
  <c r="J27" i="24"/>
  <c r="I27" i="24"/>
  <c r="H27" i="24"/>
  <c r="G27" i="24"/>
  <c r="F27" i="24"/>
  <c r="E27" i="24"/>
  <c r="D27" i="24"/>
  <c r="C27" i="24"/>
  <c r="J26" i="24"/>
  <c r="I26" i="24"/>
  <c r="H26" i="24"/>
  <c r="G26" i="24"/>
  <c r="F26" i="24"/>
  <c r="E26" i="24"/>
  <c r="D26" i="24"/>
  <c r="C26" i="24"/>
  <c r="J25" i="24"/>
  <c r="I25" i="24"/>
  <c r="H25" i="24"/>
  <c r="G25" i="24"/>
  <c r="F25" i="24"/>
  <c r="E25" i="24"/>
  <c r="D25" i="24"/>
  <c r="C25" i="24"/>
  <c r="J24" i="24"/>
  <c r="I24" i="24"/>
  <c r="H24" i="24"/>
  <c r="G24" i="24"/>
  <c r="F24" i="24"/>
  <c r="E24" i="24"/>
  <c r="D24" i="24"/>
  <c r="C24" i="24"/>
  <c r="I5" i="24"/>
  <c r="H5" i="24"/>
  <c r="H83" i="24" s="1"/>
  <c r="G5" i="24"/>
  <c r="G83" i="24" s="1"/>
  <c r="E5" i="24"/>
  <c r="E83" i="24" s="1"/>
  <c r="D5" i="24"/>
  <c r="D83" i="24" s="1"/>
  <c r="C5" i="24"/>
  <c r="C83" i="24" s="1"/>
  <c r="O4" i="24"/>
  <c r="N4" i="24"/>
  <c r="M4" i="24"/>
  <c r="L4" i="24"/>
  <c r="K4" i="24"/>
  <c r="J4" i="24"/>
  <c r="I4" i="24"/>
  <c r="H4" i="24"/>
  <c r="G4" i="24"/>
  <c r="F4" i="24"/>
  <c r="E4" i="24"/>
  <c r="D4" i="24"/>
  <c r="C4" i="24"/>
  <c r="J29" i="26" l="1"/>
  <c r="J13" i="26" s="1"/>
  <c r="I12" i="26"/>
  <c r="F31" i="24"/>
  <c r="E85" i="27"/>
  <c r="F141" i="24"/>
  <c r="G141" i="24" s="1"/>
  <c r="D31" i="24"/>
  <c r="D116" i="24" s="1"/>
  <c r="D17" i="26"/>
  <c r="E18" i="26"/>
  <c r="F17" i="26"/>
  <c r="H92" i="27"/>
  <c r="C31" i="24"/>
  <c r="D12" i="24"/>
  <c r="H40" i="26"/>
  <c r="F18" i="26"/>
  <c r="E16" i="26"/>
  <c r="E17" i="27" s="1"/>
  <c r="I40" i="26"/>
  <c r="M90" i="26"/>
  <c r="J40" i="26"/>
  <c r="G31" i="24"/>
  <c r="G78" i="24" s="1"/>
  <c r="G161" i="24" s="1"/>
  <c r="G17" i="26"/>
  <c r="H46" i="26"/>
  <c r="N85" i="26"/>
  <c r="O86" i="26" s="1"/>
  <c r="O92" i="26" s="1"/>
  <c r="C18" i="26"/>
  <c r="J46" i="26"/>
  <c r="K46" i="26"/>
  <c r="O40" i="26"/>
  <c r="L46" i="26"/>
  <c r="E31" i="24"/>
  <c r="M46" i="26"/>
  <c r="K58" i="26"/>
  <c r="D85" i="27"/>
  <c r="E146" i="24"/>
  <c r="F146" i="24" s="1"/>
  <c r="G146" i="24" s="1"/>
  <c r="H98" i="27"/>
  <c r="I98" i="27" s="1"/>
  <c r="D93" i="24"/>
  <c r="D110" i="24" s="1"/>
  <c r="D111" i="24" s="1"/>
  <c r="E140" i="24"/>
  <c r="F140" i="24" s="1"/>
  <c r="G140" i="24" s="1"/>
  <c r="E9" i="29"/>
  <c r="H9" i="29" s="1"/>
  <c r="K13" i="24"/>
  <c r="H60" i="24"/>
  <c r="E142" i="24"/>
  <c r="F142" i="24" s="1"/>
  <c r="G142" i="24" s="1"/>
  <c r="N12" i="24"/>
  <c r="H12" i="24"/>
  <c r="D13" i="24"/>
  <c r="D45" i="24"/>
  <c r="D109" i="24" s="1"/>
  <c r="E12" i="28"/>
  <c r="H12" i="28" s="1"/>
  <c r="E145" i="24"/>
  <c r="F145" i="24" s="1"/>
  <c r="G145" i="24" s="1"/>
  <c r="E21" i="28"/>
  <c r="H21" i="28" s="1"/>
  <c r="O45" i="24"/>
  <c r="E147" i="24"/>
  <c r="F147" i="24" s="1"/>
  <c r="G147" i="24" s="1"/>
  <c r="F45" i="24"/>
  <c r="F109" i="24" s="1"/>
  <c r="D60" i="24"/>
  <c r="L60" i="24"/>
  <c r="AB85" i="27"/>
  <c r="AB86" i="27" s="1"/>
  <c r="E7" i="28"/>
  <c r="H7" i="28" s="1"/>
  <c r="E21" i="29"/>
  <c r="H21" i="29" s="1"/>
  <c r="M45" i="24"/>
  <c r="E93" i="24"/>
  <c r="E110" i="24" s="1"/>
  <c r="E111" i="24" s="1"/>
  <c r="E14" i="24" s="1"/>
  <c r="I13" i="24"/>
  <c r="K93" i="24"/>
  <c r="M13" i="24"/>
  <c r="L13" i="24"/>
  <c r="E15" i="29"/>
  <c r="H15" i="29" s="1"/>
  <c r="L45" i="24"/>
  <c r="L93" i="24"/>
  <c r="F13" i="24"/>
  <c r="N13" i="24"/>
  <c r="C45" i="24"/>
  <c r="C109" i="24" s="1"/>
  <c r="G60" i="24"/>
  <c r="E13" i="24"/>
  <c r="G13" i="24"/>
  <c r="E9" i="28"/>
  <c r="H9" i="28" s="1"/>
  <c r="E12" i="29"/>
  <c r="H12" i="29" s="1"/>
  <c r="E45" i="24"/>
  <c r="E109" i="24" s="1"/>
  <c r="I12" i="24"/>
  <c r="J45" i="24"/>
  <c r="J12" i="24"/>
  <c r="K45" i="24"/>
  <c r="C93" i="24"/>
  <c r="C110" i="24" s="1"/>
  <c r="C111" i="24" s="1"/>
  <c r="O13" i="24"/>
  <c r="L12" i="24"/>
  <c r="E14" i="28"/>
  <c r="H14" i="28" s="1"/>
  <c r="E19" i="28"/>
  <c r="H19" i="28" s="1"/>
  <c r="E7" i="29"/>
  <c r="H7" i="29" s="1"/>
  <c r="E17" i="29"/>
  <c r="H17" i="29" s="1"/>
  <c r="F4" i="28"/>
  <c r="E6" i="28"/>
  <c r="H6" i="28" s="1"/>
  <c r="E11" i="28"/>
  <c r="H11" i="28" s="1"/>
  <c r="E15" i="28"/>
  <c r="H15" i="28" s="1"/>
  <c r="E14" i="29"/>
  <c r="H14" i="29" s="1"/>
  <c r="G45" i="24"/>
  <c r="G109" i="24" s="1"/>
  <c r="N45" i="24"/>
  <c r="E10" i="28"/>
  <c r="H10" i="28" s="1"/>
  <c r="E18" i="28"/>
  <c r="H18" i="28" s="1"/>
  <c r="E22" i="28"/>
  <c r="H22" i="28" s="1"/>
  <c r="E13" i="29"/>
  <c r="H13" i="29" s="1"/>
  <c r="E10" i="29"/>
  <c r="H10" i="29" s="1"/>
  <c r="E13" i="28"/>
  <c r="H13" i="28" s="1"/>
  <c r="F4" i="29"/>
  <c r="E8" i="29"/>
  <c r="H8" i="29" s="1"/>
  <c r="E16" i="29"/>
  <c r="H16" i="29" s="1"/>
  <c r="E18" i="29"/>
  <c r="H18" i="29" s="1"/>
  <c r="E8" i="28"/>
  <c r="H8" i="28" s="1"/>
  <c r="E6" i="29"/>
  <c r="H6" i="29" s="1"/>
  <c r="E11" i="29"/>
  <c r="H11" i="29" s="1"/>
  <c r="E119" i="24"/>
  <c r="E120" i="24" s="1"/>
  <c r="E116" i="24"/>
  <c r="F80" i="24"/>
  <c r="F78" i="24"/>
  <c r="F161" i="24" s="1"/>
  <c r="F79" i="24"/>
  <c r="F162" i="24" s="1"/>
  <c r="G59" i="24"/>
  <c r="G8" i="24" s="1"/>
  <c r="G79" i="24"/>
  <c r="G162" i="24" s="1"/>
  <c r="G119" i="24"/>
  <c r="G120" i="24" s="1"/>
  <c r="F60" i="24"/>
  <c r="F93" i="24"/>
  <c r="J13" i="24"/>
  <c r="D123" i="24"/>
  <c r="I31" i="24"/>
  <c r="O12" i="24"/>
  <c r="O93" i="24"/>
  <c r="H93" i="24"/>
  <c r="J93" i="24"/>
  <c r="I160" i="24"/>
  <c r="M60" i="24"/>
  <c r="M12" i="24"/>
  <c r="H70" i="24"/>
  <c r="H31" i="24"/>
  <c r="J31" i="24"/>
  <c r="C13" i="24"/>
  <c r="M93" i="24"/>
  <c r="I93" i="24"/>
  <c r="C12" i="24"/>
  <c r="K12" i="24"/>
  <c r="H13" i="24"/>
  <c r="D144" i="24"/>
  <c r="E144" i="24" s="1"/>
  <c r="F144" i="24" s="1"/>
  <c r="G144" i="24" s="1"/>
  <c r="D59" i="24"/>
  <c r="D8" i="24" s="1"/>
  <c r="D29" i="27"/>
  <c r="E60" i="24"/>
  <c r="E12" i="24"/>
  <c r="N60" i="24"/>
  <c r="N93" i="24"/>
  <c r="G12" i="24"/>
  <c r="G93" i="24"/>
  <c r="C119" i="24"/>
  <c r="C120" i="24" s="1"/>
  <c r="C15" i="24" s="1"/>
  <c r="C59" i="24"/>
  <c r="C8" i="24" s="1"/>
  <c r="F12" i="24"/>
  <c r="H45" i="24"/>
  <c r="O60" i="24"/>
  <c r="E29" i="27"/>
  <c r="I45" i="24"/>
  <c r="I142" i="24" s="1"/>
  <c r="H160" i="24"/>
  <c r="D119" i="24"/>
  <c r="D120" i="24" s="1"/>
  <c r="J60" i="24"/>
  <c r="C60" i="24"/>
  <c r="K60" i="24"/>
  <c r="F45" i="27"/>
  <c r="F84" i="24" s="1"/>
  <c r="I107" i="27"/>
  <c r="I105" i="27"/>
  <c r="I103" i="27"/>
  <c r="I101" i="27"/>
  <c r="J76" i="27"/>
  <c r="I108" i="27"/>
  <c r="I106" i="27"/>
  <c r="I104" i="27"/>
  <c r="I102" i="27"/>
  <c r="V45" i="27"/>
  <c r="Q44" i="27" s="1"/>
  <c r="S44" i="27" s="1"/>
  <c r="X43" i="27"/>
  <c r="I69" i="27"/>
  <c r="H33" i="26"/>
  <c r="I25" i="26"/>
  <c r="H32" i="26"/>
  <c r="I26" i="26"/>
  <c r="O45" i="27"/>
  <c r="H17" i="26"/>
  <c r="H16" i="26"/>
  <c r="I27" i="26"/>
  <c r="G32" i="26"/>
  <c r="G34" i="26"/>
  <c r="G14" i="26"/>
  <c r="H34" i="26"/>
  <c r="I92" i="27"/>
  <c r="J92" i="27" s="1"/>
  <c r="C16" i="26"/>
  <c r="C17" i="27" s="1"/>
  <c r="G18" i="26"/>
  <c r="G16" i="26"/>
  <c r="K30" i="26"/>
  <c r="I30" i="26"/>
  <c r="F85" i="27"/>
  <c r="F119" i="24" s="1"/>
  <c r="F120" i="24" s="1"/>
  <c r="F81" i="27"/>
  <c r="F116" i="24" s="1"/>
  <c r="O84" i="26"/>
  <c r="O83" i="26"/>
  <c r="N90" i="26"/>
  <c r="N91" i="26"/>
  <c r="H85" i="27"/>
  <c r="H18" i="26"/>
  <c r="N111" i="26"/>
  <c r="O112" i="26" s="1"/>
  <c r="M117" i="26"/>
  <c r="N110" i="26"/>
  <c r="M118" i="26"/>
  <c r="I83" i="27"/>
  <c r="I13" i="26"/>
  <c r="I31" i="26"/>
  <c r="I17" i="27"/>
  <c r="I69" i="24" s="1"/>
  <c r="F16" i="26"/>
  <c r="K31" i="26"/>
  <c r="H107" i="27"/>
  <c r="H105" i="27"/>
  <c r="H103" i="27"/>
  <c r="H101" i="27"/>
  <c r="H108" i="27"/>
  <c r="H147" i="24" s="1"/>
  <c r="H102" i="27"/>
  <c r="H104" i="27"/>
  <c r="H90" i="27"/>
  <c r="I90" i="27" s="1"/>
  <c r="H70" i="27"/>
  <c r="H106" i="27"/>
  <c r="H145" i="24" s="1"/>
  <c r="H96" i="27"/>
  <c r="I96" i="27" s="1"/>
  <c r="C81" i="27"/>
  <c r="D18" i="26"/>
  <c r="H94" i="27"/>
  <c r="I94" i="27" s="1"/>
  <c r="D16" i="26"/>
  <c r="D17" i="27" s="1"/>
  <c r="J63" i="26"/>
  <c r="J5" i="24" s="1"/>
  <c r="K57" i="26"/>
  <c r="G22" i="3" s="1"/>
  <c r="J64" i="26"/>
  <c r="K56" i="26"/>
  <c r="G21" i="3" s="1"/>
  <c r="M91" i="26"/>
  <c r="G80" i="24" l="1"/>
  <c r="L59" i="26"/>
  <c r="G23" i="3"/>
  <c r="K26" i="24"/>
  <c r="J96" i="27"/>
  <c r="D14" i="24"/>
  <c r="E59" i="24"/>
  <c r="E8" i="24" s="1"/>
  <c r="F59" i="24"/>
  <c r="F8" i="24" s="1"/>
  <c r="E149" i="24"/>
  <c r="AB89" i="27"/>
  <c r="G86" i="27" s="1"/>
  <c r="AB87" i="27"/>
  <c r="H23" i="29"/>
  <c r="H24" i="29" s="1"/>
  <c r="H25" i="29" s="1"/>
  <c r="H27" i="29" s="1"/>
  <c r="H25" i="28"/>
  <c r="H26" i="28" s="1"/>
  <c r="H27" i="28" s="1"/>
  <c r="H29" i="28" s="1"/>
  <c r="C14" i="24"/>
  <c r="L57" i="26"/>
  <c r="H22" i="3" s="1"/>
  <c r="K64" i="26"/>
  <c r="K63" i="26"/>
  <c r="K5" i="24" s="1"/>
  <c r="L56" i="26"/>
  <c r="H21" i="3" s="1"/>
  <c r="K24" i="24"/>
  <c r="F33" i="27"/>
  <c r="F29" i="27"/>
  <c r="F76" i="24" s="1"/>
  <c r="F72" i="24"/>
  <c r="F73" i="24"/>
  <c r="F34" i="27"/>
  <c r="F40" i="27"/>
  <c r="F71" i="24"/>
  <c r="F74" i="24"/>
  <c r="J28" i="26"/>
  <c r="I11" i="26"/>
  <c r="D69" i="24"/>
  <c r="D70" i="24"/>
  <c r="L58" i="26"/>
  <c r="H23" i="3" s="1"/>
  <c r="K25" i="24"/>
  <c r="J17" i="27"/>
  <c r="J69" i="24" s="1"/>
  <c r="I85" i="27"/>
  <c r="I119" i="24" s="1"/>
  <c r="I120" i="24" s="1"/>
  <c r="I15" i="24" s="1"/>
  <c r="H119" i="24"/>
  <c r="H120" i="24" s="1"/>
  <c r="J31" i="26"/>
  <c r="I14" i="26"/>
  <c r="I18" i="26" s="1"/>
  <c r="I33" i="26"/>
  <c r="J25" i="26"/>
  <c r="I9" i="26"/>
  <c r="I32" i="26"/>
  <c r="J26" i="26"/>
  <c r="E84" i="24"/>
  <c r="E72" i="24"/>
  <c r="G110" i="24"/>
  <c r="G111" i="24" s="1"/>
  <c r="G14" i="24" s="1"/>
  <c r="D80" i="24"/>
  <c r="D72" i="24"/>
  <c r="H144" i="24"/>
  <c r="F149" i="24"/>
  <c r="H146" i="24"/>
  <c r="C116" i="24"/>
  <c r="C154" i="24" s="1"/>
  <c r="I15" i="26"/>
  <c r="N117" i="26"/>
  <c r="N118" i="26"/>
  <c r="O111" i="26"/>
  <c r="O110" i="26"/>
  <c r="L31" i="26"/>
  <c r="K14" i="26"/>
  <c r="I144" i="24"/>
  <c r="I141" i="24"/>
  <c r="I145" i="24"/>
  <c r="I143" i="24"/>
  <c r="E71" i="24"/>
  <c r="E78" i="24"/>
  <c r="E161" i="24" s="1"/>
  <c r="D76" i="24"/>
  <c r="D78" i="24"/>
  <c r="D161" i="24" s="1"/>
  <c r="J160" i="24"/>
  <c r="I59" i="24"/>
  <c r="I8" i="24" s="1"/>
  <c r="I79" i="24"/>
  <c r="I162" i="24" s="1"/>
  <c r="I84" i="24"/>
  <c r="I80" i="24"/>
  <c r="J27" i="26"/>
  <c r="I10" i="26"/>
  <c r="D79" i="24"/>
  <c r="D162" i="24" s="1"/>
  <c r="E9" i="27"/>
  <c r="E70" i="24"/>
  <c r="D74" i="24"/>
  <c r="G33" i="27"/>
  <c r="G34" i="27"/>
  <c r="G29" i="27"/>
  <c r="G45" i="27"/>
  <c r="G84" i="24" s="1"/>
  <c r="J107" i="27"/>
  <c r="J105" i="27"/>
  <c r="J103" i="27"/>
  <c r="J101" i="27"/>
  <c r="J108" i="27"/>
  <c r="J104" i="27"/>
  <c r="J106" i="27"/>
  <c r="J102" i="27"/>
  <c r="K76" i="27"/>
  <c r="E74" i="24"/>
  <c r="G149" i="24"/>
  <c r="H140" i="24"/>
  <c r="J143" i="24"/>
  <c r="D71" i="24"/>
  <c r="D84" i="24"/>
  <c r="H110" i="24"/>
  <c r="D136" i="24"/>
  <c r="D15" i="24" s="1"/>
  <c r="E123" i="24"/>
  <c r="J94" i="27"/>
  <c r="H109" i="24"/>
  <c r="O90" i="26"/>
  <c r="O91" i="26"/>
  <c r="E12" i="27"/>
  <c r="E75" i="24"/>
  <c r="F14" i="27"/>
  <c r="E14" i="27"/>
  <c r="E80" i="24"/>
  <c r="J145" i="24"/>
  <c r="D149" i="24"/>
  <c r="J59" i="24"/>
  <c r="J8" i="24" s="1"/>
  <c r="J79" i="24"/>
  <c r="J162" i="24" s="1"/>
  <c r="J84" i="24"/>
  <c r="J80" i="24"/>
  <c r="G17" i="27"/>
  <c r="F9" i="27"/>
  <c r="F70" i="24"/>
  <c r="E76" i="24"/>
  <c r="J88" i="27"/>
  <c r="J90" i="27"/>
  <c r="C29" i="27"/>
  <c r="D13" i="27"/>
  <c r="J98" i="27"/>
  <c r="H143" i="24"/>
  <c r="E79" i="24"/>
  <c r="E162" i="24" s="1"/>
  <c r="E11" i="27"/>
  <c r="E69" i="24"/>
  <c r="D73" i="24"/>
  <c r="D77" i="24"/>
  <c r="H142" i="24"/>
  <c r="H141" i="24"/>
  <c r="J83" i="27"/>
  <c r="K15" i="26"/>
  <c r="J87" i="27"/>
  <c r="I34" i="26"/>
  <c r="G81" i="27"/>
  <c r="J69" i="27"/>
  <c r="I110" i="24"/>
  <c r="I70" i="27"/>
  <c r="E13" i="27"/>
  <c r="E77" i="24"/>
  <c r="E73" i="24"/>
  <c r="D75" i="24"/>
  <c r="H161" i="24"/>
  <c r="H59" i="24"/>
  <c r="H8" i="24" s="1"/>
  <c r="H79" i="24"/>
  <c r="H162" i="24" s="1"/>
  <c r="H84" i="24"/>
  <c r="H80" i="24"/>
  <c r="F110" i="24"/>
  <c r="F111" i="24" s="1"/>
  <c r="F14" i="24" s="1"/>
  <c r="L27" i="24" l="1"/>
  <c r="H24" i="3"/>
  <c r="M60" i="26"/>
  <c r="L65" i="26"/>
  <c r="D154" i="24"/>
  <c r="D17" i="24" s="1"/>
  <c r="H86" i="27"/>
  <c r="G128" i="24"/>
  <c r="C72" i="24"/>
  <c r="C78" i="24"/>
  <c r="C161" i="24" s="1"/>
  <c r="K98" i="27"/>
  <c r="J142" i="24"/>
  <c r="K69" i="27"/>
  <c r="J110" i="24"/>
  <c r="C70" i="24"/>
  <c r="H111" i="24"/>
  <c r="K107" i="27"/>
  <c r="K105" i="27"/>
  <c r="K103" i="27"/>
  <c r="K101" i="27"/>
  <c r="L76" i="27"/>
  <c r="K108" i="27"/>
  <c r="K104" i="27"/>
  <c r="K106" i="27"/>
  <c r="K102" i="27"/>
  <c r="L15" i="26"/>
  <c r="K17" i="27"/>
  <c r="K69" i="24" s="1"/>
  <c r="D9" i="27"/>
  <c r="K29" i="26"/>
  <c r="J12" i="26"/>
  <c r="J34" i="26"/>
  <c r="D16" i="24"/>
  <c r="D19" i="24" s="1"/>
  <c r="K94" i="27"/>
  <c r="J144" i="24"/>
  <c r="J147" i="24"/>
  <c r="H29" i="27"/>
  <c r="G76" i="24"/>
  <c r="C155" i="24"/>
  <c r="C113" i="24"/>
  <c r="C16" i="24"/>
  <c r="C19" i="24" s="1"/>
  <c r="K27" i="26"/>
  <c r="J10" i="26"/>
  <c r="J15" i="26"/>
  <c r="F11" i="27"/>
  <c r="F69" i="24"/>
  <c r="F12" i="27"/>
  <c r="F75" i="24"/>
  <c r="C69" i="24"/>
  <c r="C77" i="24"/>
  <c r="E136" i="24"/>
  <c r="F123" i="24"/>
  <c r="H24" i="27"/>
  <c r="G72" i="24"/>
  <c r="K96" i="27"/>
  <c r="D86" i="24"/>
  <c r="D112" i="24"/>
  <c r="K31" i="24"/>
  <c r="J146" i="24"/>
  <c r="H26" i="27"/>
  <c r="G74" i="24"/>
  <c r="H20" i="27"/>
  <c r="G71" i="24"/>
  <c r="O117" i="26"/>
  <c r="O118" i="26"/>
  <c r="K83" i="27"/>
  <c r="C76" i="24"/>
  <c r="G13" i="27"/>
  <c r="H34" i="27"/>
  <c r="G77" i="24"/>
  <c r="K28" i="26"/>
  <c r="J11" i="26"/>
  <c r="I17" i="26"/>
  <c r="I16" i="26"/>
  <c r="L64" i="26"/>
  <c r="L63" i="26"/>
  <c r="L5" i="24" s="1"/>
  <c r="M57" i="26"/>
  <c r="I22" i="3" s="1"/>
  <c r="M56" i="26"/>
  <c r="I21" i="3" s="1"/>
  <c r="L24" i="24"/>
  <c r="C74" i="24"/>
  <c r="K87" i="27"/>
  <c r="J128" i="24"/>
  <c r="I109" i="24"/>
  <c r="I111" i="24" s="1"/>
  <c r="C79" i="24"/>
  <c r="C162" i="24" s="1"/>
  <c r="H149" i="24"/>
  <c r="J70" i="27"/>
  <c r="H19" i="27"/>
  <c r="G11" i="27"/>
  <c r="G69" i="24"/>
  <c r="J33" i="26"/>
  <c r="K26" i="26"/>
  <c r="K25" i="26"/>
  <c r="J9" i="26"/>
  <c r="J32" i="26"/>
  <c r="J85" i="27"/>
  <c r="M59" i="26"/>
  <c r="I24" i="3" s="1"/>
  <c r="L26" i="24"/>
  <c r="D11" i="27"/>
  <c r="C17" i="24"/>
  <c r="G12" i="27"/>
  <c r="H33" i="27"/>
  <c r="G75" i="24"/>
  <c r="M58" i="26"/>
  <c r="I23" i="3" s="1"/>
  <c r="L25" i="24"/>
  <c r="C80" i="24"/>
  <c r="K90" i="27"/>
  <c r="J141" i="24"/>
  <c r="K92" i="27"/>
  <c r="K88" i="27"/>
  <c r="E86" i="24"/>
  <c r="C75" i="24"/>
  <c r="G9" i="27"/>
  <c r="G70" i="24"/>
  <c r="H9" i="27"/>
  <c r="E112" i="24"/>
  <c r="C84" i="24"/>
  <c r="D12" i="27"/>
  <c r="H81" i="27"/>
  <c r="G116" i="24"/>
  <c r="C73" i="24"/>
  <c r="C71" i="24"/>
  <c r="H25" i="27"/>
  <c r="G73" i="24"/>
  <c r="K160" i="24"/>
  <c r="D14" i="27"/>
  <c r="F13" i="27"/>
  <c r="F77" i="24"/>
  <c r="F112" i="24" s="1"/>
  <c r="I25" i="3" l="1"/>
  <c r="N61" i="26"/>
  <c r="M28" i="24"/>
  <c r="G112" i="24"/>
  <c r="D113" i="24"/>
  <c r="I86" i="27"/>
  <c r="H128" i="24"/>
  <c r="D155" i="24"/>
  <c r="E154" i="24"/>
  <c r="E157" i="24" s="1"/>
  <c r="E15" i="24"/>
  <c r="I26" i="27"/>
  <c r="H74" i="24"/>
  <c r="L17" i="27"/>
  <c r="L69" i="24" s="1"/>
  <c r="K146" i="24"/>
  <c r="I25" i="27"/>
  <c r="H73" i="24"/>
  <c r="L88" i="27"/>
  <c r="K33" i="26"/>
  <c r="L25" i="26"/>
  <c r="K9" i="26"/>
  <c r="K32" i="26"/>
  <c r="L26" i="26"/>
  <c r="I24" i="27"/>
  <c r="H72" i="24"/>
  <c r="L28" i="26"/>
  <c r="K11" i="26"/>
  <c r="J18" i="26"/>
  <c r="L69" i="27"/>
  <c r="K110" i="24"/>
  <c r="I29" i="27"/>
  <c r="H76" i="24"/>
  <c r="K147" i="24"/>
  <c r="E88" i="24"/>
  <c r="E87" i="24"/>
  <c r="E10" i="24"/>
  <c r="L90" i="27"/>
  <c r="K141" i="24"/>
  <c r="J17" i="26"/>
  <c r="J16" i="26"/>
  <c r="J109" i="24"/>
  <c r="J111" i="24" s="1"/>
  <c r="L87" i="27"/>
  <c r="K128" i="24"/>
  <c r="K34" i="26"/>
  <c r="L29" i="26"/>
  <c r="K12" i="26"/>
  <c r="I81" i="27"/>
  <c r="H116" i="24"/>
  <c r="L92" i="27"/>
  <c r="K143" i="24"/>
  <c r="K10" i="26"/>
  <c r="L27" i="26"/>
  <c r="I34" i="27"/>
  <c r="H77" i="24"/>
  <c r="K59" i="24"/>
  <c r="K8" i="24" s="1"/>
  <c r="K79" i="24"/>
  <c r="K162" i="24" s="1"/>
  <c r="K84" i="24"/>
  <c r="K80" i="24"/>
  <c r="L94" i="27"/>
  <c r="K144" i="24"/>
  <c r="L30" i="26"/>
  <c r="K13" i="26"/>
  <c r="J123" i="24"/>
  <c r="M64" i="26"/>
  <c r="N56" i="26"/>
  <c r="N57" i="26"/>
  <c r="M63" i="26"/>
  <c r="M5" i="24" s="1"/>
  <c r="M24" i="24"/>
  <c r="I19" i="27"/>
  <c r="I70" i="24" s="1"/>
  <c r="H69" i="24"/>
  <c r="I33" i="27"/>
  <c r="H75" i="24"/>
  <c r="I149" i="24"/>
  <c r="J140" i="24"/>
  <c r="M65" i="26"/>
  <c r="N60" i="26"/>
  <c r="M27" i="24"/>
  <c r="I20" i="27"/>
  <c r="H71" i="24"/>
  <c r="C86" i="24"/>
  <c r="C112" i="24"/>
  <c r="N59" i="26"/>
  <c r="M26" i="24"/>
  <c r="K85" i="27"/>
  <c r="L85" i="27" s="1"/>
  <c r="J119" i="24"/>
  <c r="J120" i="24" s="1"/>
  <c r="I114" i="24"/>
  <c r="I14" i="24"/>
  <c r="D87" i="24"/>
  <c r="D10" i="24"/>
  <c r="D18" i="24" s="1"/>
  <c r="D88" i="24"/>
  <c r="D157" i="24"/>
  <c r="K70" i="27"/>
  <c r="L70" i="27" s="1"/>
  <c r="H14" i="24"/>
  <c r="L160" i="24"/>
  <c r="N58" i="26"/>
  <c r="M25" i="24"/>
  <c r="M76" i="27"/>
  <c r="L108" i="27"/>
  <c r="L106" i="27"/>
  <c r="L104" i="27"/>
  <c r="L102" i="27"/>
  <c r="L103" i="27"/>
  <c r="L105" i="27"/>
  <c r="L107" i="27"/>
  <c r="L101" i="27"/>
  <c r="F86" i="24"/>
  <c r="L98" i="27"/>
  <c r="K142" i="24"/>
  <c r="G86" i="24"/>
  <c r="L31" i="24"/>
  <c r="L96" i="27"/>
  <c r="K145" i="24"/>
  <c r="F136" i="24"/>
  <c r="G123" i="24"/>
  <c r="L83" i="27"/>
  <c r="M85" i="27" l="1"/>
  <c r="N29" i="24"/>
  <c r="O62" i="26"/>
  <c r="O30" i="24" s="1"/>
  <c r="K119" i="24"/>
  <c r="K120" i="24" s="1"/>
  <c r="H112" i="24"/>
  <c r="J86" i="27"/>
  <c r="L109" i="24"/>
  <c r="J19" i="27"/>
  <c r="J70" i="24" s="1"/>
  <c r="M28" i="26"/>
  <c r="L11" i="26"/>
  <c r="M17" i="27"/>
  <c r="M69" i="24" s="1"/>
  <c r="D165" i="24"/>
  <c r="D6" i="24"/>
  <c r="D7" i="24" s="1"/>
  <c r="J20" i="27"/>
  <c r="I71" i="24"/>
  <c r="E165" i="24"/>
  <c r="E6" i="24"/>
  <c r="E7" i="24" s="1"/>
  <c r="M69" i="27"/>
  <c r="L110" i="24"/>
  <c r="J24" i="27"/>
  <c r="I72" i="24"/>
  <c r="M88" i="27"/>
  <c r="L146" i="24"/>
  <c r="M31" i="24"/>
  <c r="J34" i="27"/>
  <c r="I77" i="24"/>
  <c r="K18" i="26"/>
  <c r="L147" i="24"/>
  <c r="M94" i="27"/>
  <c r="L144" i="24"/>
  <c r="J81" i="27"/>
  <c r="I116" i="24"/>
  <c r="G88" i="24"/>
  <c r="G10" i="24"/>
  <c r="G87" i="24"/>
  <c r="M30" i="26"/>
  <c r="L13" i="26"/>
  <c r="J26" i="27"/>
  <c r="I74" i="24"/>
  <c r="O59" i="26"/>
  <c r="N26" i="24"/>
  <c r="K123" i="24"/>
  <c r="M26" i="26"/>
  <c r="M25" i="26"/>
  <c r="L33" i="26"/>
  <c r="L9" i="26"/>
  <c r="L32" i="26"/>
  <c r="G136" i="24"/>
  <c r="H123" i="24"/>
  <c r="H136" i="24" s="1"/>
  <c r="M98" i="27"/>
  <c r="L142" i="24"/>
  <c r="O61" i="26"/>
  <c r="O29" i="24" s="1"/>
  <c r="N28" i="24"/>
  <c r="O58" i="26"/>
  <c r="O26" i="24" s="1"/>
  <c r="N25" i="24"/>
  <c r="M31" i="26"/>
  <c r="L14" i="26"/>
  <c r="M92" i="27"/>
  <c r="L143" i="24"/>
  <c r="M27" i="26"/>
  <c r="L10" i="26"/>
  <c r="J114" i="24"/>
  <c r="J14" i="24"/>
  <c r="F154" i="24"/>
  <c r="F157" i="24" s="1"/>
  <c r="F15" i="24"/>
  <c r="F88" i="24"/>
  <c r="F87" i="24"/>
  <c r="F137" i="24" s="1"/>
  <c r="F10" i="24"/>
  <c r="M83" i="27"/>
  <c r="M96" i="27"/>
  <c r="L145" i="24"/>
  <c r="M70" i="27"/>
  <c r="M108" i="27"/>
  <c r="M106" i="27"/>
  <c r="M104" i="27"/>
  <c r="M102" i="27"/>
  <c r="M107" i="27"/>
  <c r="M105" i="27"/>
  <c r="M103" i="27"/>
  <c r="M101" i="27"/>
  <c r="N76" i="27"/>
  <c r="N85" i="27" s="1"/>
  <c r="M160" i="24"/>
  <c r="O60" i="26"/>
  <c r="O28" i="24" s="1"/>
  <c r="N65" i="26"/>
  <c r="N27" i="24"/>
  <c r="K140" i="24"/>
  <c r="J149" i="24"/>
  <c r="J33" i="27"/>
  <c r="I75" i="24"/>
  <c r="O57" i="26"/>
  <c r="O25" i="24" s="1"/>
  <c r="N63" i="26"/>
  <c r="N5" i="24" s="1"/>
  <c r="O56" i="26"/>
  <c r="N64" i="26"/>
  <c r="N24" i="24"/>
  <c r="M90" i="27"/>
  <c r="L141" i="24"/>
  <c r="V83" i="27"/>
  <c r="J25" i="27"/>
  <c r="I73" i="24"/>
  <c r="E155" i="24"/>
  <c r="E113" i="24"/>
  <c r="E16" i="24"/>
  <c r="E19" i="24" s="1"/>
  <c r="E17" i="24"/>
  <c r="L79" i="24"/>
  <c r="L162" i="24" s="1"/>
  <c r="L119" i="24"/>
  <c r="L120" i="24" s="1"/>
  <c r="L84" i="24"/>
  <c r="L80" i="24"/>
  <c r="L59" i="24"/>
  <c r="L8" i="24" s="1"/>
  <c r="L78" i="24"/>
  <c r="L161" i="24" s="1"/>
  <c r="K109" i="24"/>
  <c r="K111" i="24" s="1"/>
  <c r="C87" i="24"/>
  <c r="C88" i="24"/>
  <c r="C157" i="24"/>
  <c r="C10" i="24"/>
  <c r="C18" i="24" s="1"/>
  <c r="H86" i="24"/>
  <c r="M87" i="27"/>
  <c r="L128" i="24"/>
  <c r="J29" i="27"/>
  <c r="I76" i="24"/>
  <c r="M29" i="26"/>
  <c r="L12" i="26"/>
  <c r="L34" i="26"/>
  <c r="K17" i="26"/>
  <c r="K16" i="26"/>
  <c r="M147" i="24" l="1"/>
  <c r="E18" i="24"/>
  <c r="K86" i="27"/>
  <c r="F165" i="24"/>
  <c r="F6" i="24"/>
  <c r="F7" i="24" s="1"/>
  <c r="H87" i="24"/>
  <c r="H137" i="24" s="1"/>
  <c r="H10" i="24"/>
  <c r="H88" i="24"/>
  <c r="H151" i="24"/>
  <c r="H154" i="24" s="1"/>
  <c r="H157" i="24" s="1"/>
  <c r="N87" i="27"/>
  <c r="M128" i="24"/>
  <c r="C165" i="24"/>
  <c r="C6" i="24"/>
  <c r="C7" i="24" s="1"/>
  <c r="N92" i="27"/>
  <c r="M143" i="24"/>
  <c r="O65" i="26"/>
  <c r="O27" i="24"/>
  <c r="K81" i="27"/>
  <c r="J116" i="24"/>
  <c r="N69" i="27"/>
  <c r="M110" i="24"/>
  <c r="N17" i="27"/>
  <c r="N69" i="24" s="1"/>
  <c r="L18" i="26"/>
  <c r="N90" i="27"/>
  <c r="M141" i="24"/>
  <c r="L16" i="26"/>
  <c r="L17" i="26"/>
  <c r="K34" i="27"/>
  <c r="J77" i="24"/>
  <c r="M146" i="24"/>
  <c r="G137" i="24"/>
  <c r="G15" i="24"/>
  <c r="G154" i="24"/>
  <c r="N31" i="26"/>
  <c r="M14" i="26"/>
  <c r="K20" i="27"/>
  <c r="J71" i="24"/>
  <c r="M34" i="26"/>
  <c r="N29" i="26"/>
  <c r="M12" i="26"/>
  <c r="N30" i="26"/>
  <c r="M13" i="26"/>
  <c r="K33" i="27"/>
  <c r="J75" i="24"/>
  <c r="N96" i="27"/>
  <c r="M145" i="24"/>
  <c r="F155" i="24"/>
  <c r="F113" i="24"/>
  <c r="F16" i="24"/>
  <c r="F19" i="24" s="1"/>
  <c r="F17" i="24"/>
  <c r="M119" i="24"/>
  <c r="M120" i="24" s="1"/>
  <c r="M84" i="24"/>
  <c r="M80" i="24"/>
  <c r="M78" i="24"/>
  <c r="M161" i="24" s="1"/>
  <c r="M59" i="24"/>
  <c r="M8" i="24" s="1"/>
  <c r="M79" i="24"/>
  <c r="M162" i="24" s="1"/>
  <c r="N88" i="27"/>
  <c r="V84" i="27"/>
  <c r="V87" i="27"/>
  <c r="N31" i="24"/>
  <c r="N94" i="27"/>
  <c r="M144" i="24"/>
  <c r="I86" i="24"/>
  <c r="I112" i="24"/>
  <c r="L123" i="24"/>
  <c r="K114" i="24"/>
  <c r="K14" i="24"/>
  <c r="N160" i="24"/>
  <c r="N83" i="27"/>
  <c r="M15" i="26"/>
  <c r="M32" i="26"/>
  <c r="N25" i="26"/>
  <c r="N26" i="26"/>
  <c r="M33" i="26"/>
  <c r="M9" i="26"/>
  <c r="K26" i="27"/>
  <c r="J74" i="24"/>
  <c r="K29" i="27"/>
  <c r="J76" i="24"/>
  <c r="K25" i="27"/>
  <c r="J73" i="24"/>
  <c r="N108" i="27"/>
  <c r="N106" i="27"/>
  <c r="N104" i="27"/>
  <c r="N102" i="27"/>
  <c r="N107" i="27"/>
  <c r="O76" i="27"/>
  <c r="O85" i="27" s="1"/>
  <c r="N103" i="27"/>
  <c r="N70" i="27"/>
  <c r="N105" i="27"/>
  <c r="N101" i="27"/>
  <c r="N98" i="27"/>
  <c r="M142" i="24"/>
  <c r="M10" i="26"/>
  <c r="N27" i="26"/>
  <c r="L111" i="24"/>
  <c r="O63" i="26"/>
  <c r="O5" i="24" s="1"/>
  <c r="O64" i="26"/>
  <c r="O24" i="24"/>
  <c r="O31" i="24" s="1"/>
  <c r="K149" i="24"/>
  <c r="L140" i="24"/>
  <c r="M109" i="24"/>
  <c r="M111" i="24" s="1"/>
  <c r="N28" i="26"/>
  <c r="M11" i="26"/>
  <c r="N147" i="24"/>
  <c r="K24" i="27"/>
  <c r="J72" i="24"/>
  <c r="K19" i="27"/>
  <c r="K70" i="24" s="1"/>
  <c r="F18" i="24" l="1"/>
  <c r="I151" i="24"/>
  <c r="I88" i="24"/>
  <c r="L86" i="27"/>
  <c r="H6" i="24"/>
  <c r="H7" i="24" s="1"/>
  <c r="H165" i="24"/>
  <c r="L19" i="27"/>
  <c r="L70" i="24" s="1"/>
  <c r="G155" i="24"/>
  <c r="G16" i="24"/>
  <c r="G113" i="24"/>
  <c r="G17" i="24"/>
  <c r="G157" i="24"/>
  <c r="O90" i="27"/>
  <c r="N141" i="24"/>
  <c r="O92" i="27"/>
  <c r="N143" i="24"/>
  <c r="L24" i="27"/>
  <c r="K72" i="24"/>
  <c r="O98" i="27"/>
  <c r="N142" i="24"/>
  <c r="M16" i="26"/>
  <c r="M17" i="26"/>
  <c r="L81" i="27"/>
  <c r="K116" i="24"/>
  <c r="L149" i="24"/>
  <c r="M140" i="24"/>
  <c r="O83" i="27"/>
  <c r="N119" i="24"/>
  <c r="N120" i="24" s="1"/>
  <c r="N84" i="24"/>
  <c r="N80" i="24"/>
  <c r="N78" i="24"/>
  <c r="N161" i="24" s="1"/>
  <c r="N79" i="24"/>
  <c r="N162" i="24" s="1"/>
  <c r="N59" i="24"/>
  <c r="N8" i="24" s="1"/>
  <c r="L20" i="27"/>
  <c r="K71" i="24"/>
  <c r="L25" i="27"/>
  <c r="K73" i="24"/>
  <c r="O88" i="27"/>
  <c r="O30" i="26"/>
  <c r="N13" i="26"/>
  <c r="L114" i="24"/>
  <c r="L14" i="24"/>
  <c r="L26" i="27"/>
  <c r="K74" i="24"/>
  <c r="O160" i="24"/>
  <c r="M123" i="24"/>
  <c r="O31" i="26"/>
  <c r="N14" i="26"/>
  <c r="N146" i="24"/>
  <c r="O87" i="27"/>
  <c r="O128" i="24" s="1"/>
  <c r="N128" i="24"/>
  <c r="O80" i="24"/>
  <c r="O78" i="24"/>
  <c r="O161" i="24" s="1"/>
  <c r="O59" i="24"/>
  <c r="O8" i="24" s="1"/>
  <c r="O119" i="24"/>
  <c r="O120" i="24" s="1"/>
  <c r="O79" i="24"/>
  <c r="O162" i="24" s="1"/>
  <c r="O84" i="24"/>
  <c r="N109" i="24"/>
  <c r="M114" i="24"/>
  <c r="M14" i="24"/>
  <c r="J86" i="24"/>
  <c r="J88" i="24" s="1"/>
  <c r="J112" i="24"/>
  <c r="O28" i="26"/>
  <c r="N11" i="26"/>
  <c r="N10" i="26"/>
  <c r="O27" i="26"/>
  <c r="O17" i="27"/>
  <c r="O69" i="24" s="1"/>
  <c r="L29" i="27"/>
  <c r="K76" i="24"/>
  <c r="N32" i="26"/>
  <c r="O26" i="26"/>
  <c r="N33" i="26"/>
  <c r="N9" i="26"/>
  <c r="O25" i="26"/>
  <c r="I125" i="24"/>
  <c r="I136" i="24" s="1"/>
  <c r="I87" i="24"/>
  <c r="I10" i="24"/>
  <c r="O96" i="27"/>
  <c r="N145" i="24"/>
  <c r="M18" i="26"/>
  <c r="N15" i="26"/>
  <c r="L34" i="27"/>
  <c r="K77" i="24"/>
  <c r="O69" i="27"/>
  <c r="N110" i="24"/>
  <c r="O108" i="27"/>
  <c r="O147" i="24" s="1"/>
  <c r="O106" i="27"/>
  <c r="O104" i="27"/>
  <c r="O102" i="27"/>
  <c r="O107" i="27"/>
  <c r="O70" i="27"/>
  <c r="O105" i="27"/>
  <c r="O101" i="27"/>
  <c r="O103" i="27"/>
  <c r="H155" i="24"/>
  <c r="H16" i="24"/>
  <c r="H19" i="24" s="1"/>
  <c r="H113" i="24"/>
  <c r="H17" i="24"/>
  <c r="N34" i="26"/>
  <c r="N12" i="26"/>
  <c r="N18" i="26" s="1"/>
  <c r="O29" i="26"/>
  <c r="O94" i="27"/>
  <c r="N144" i="24"/>
  <c r="L33" i="27"/>
  <c r="K75" i="24"/>
  <c r="I154" i="24" l="1"/>
  <c r="I16" i="24" s="1"/>
  <c r="M86" i="27"/>
  <c r="O144" i="24"/>
  <c r="O34" i="26"/>
  <c r="O12" i="26"/>
  <c r="O142" i="24"/>
  <c r="G19" i="24"/>
  <c r="G18" i="24"/>
  <c r="O146" i="24"/>
  <c r="M25" i="27"/>
  <c r="L73" i="24"/>
  <c r="O13" i="26"/>
  <c r="O32" i="26"/>
  <c r="O33" i="26"/>
  <c r="O9" i="26"/>
  <c r="M29" i="27"/>
  <c r="L76" i="24"/>
  <c r="N111" i="24"/>
  <c r="O143" i="24"/>
  <c r="O10" i="26"/>
  <c r="O145" i="24"/>
  <c r="N16" i="26"/>
  <c r="N17" i="26"/>
  <c r="J125" i="24"/>
  <c r="J136" i="24" s="1"/>
  <c r="J87" i="24"/>
  <c r="J10" i="24"/>
  <c r="J151" i="24"/>
  <c r="O15" i="26"/>
  <c r="K86" i="24"/>
  <c r="K88" i="24" s="1"/>
  <c r="K112" i="24"/>
  <c r="N123" i="24"/>
  <c r="M26" i="27"/>
  <c r="L74" i="24"/>
  <c r="O14" i="26"/>
  <c r="M20" i="27"/>
  <c r="L71" i="24"/>
  <c r="M81" i="27"/>
  <c r="L116" i="24"/>
  <c r="H18" i="24"/>
  <c r="O109" i="24"/>
  <c r="O110" i="24"/>
  <c r="M34" i="27"/>
  <c r="L77" i="24"/>
  <c r="O11" i="26"/>
  <c r="O141" i="24"/>
  <c r="M19" i="27"/>
  <c r="M70" i="24" s="1"/>
  <c r="M33" i="27"/>
  <c r="L75" i="24"/>
  <c r="G165" i="24"/>
  <c r="G6" i="24"/>
  <c r="G7" i="24" s="1"/>
  <c r="I137" i="24"/>
  <c r="H15" i="24"/>
  <c r="M149" i="24"/>
  <c r="N140" i="24"/>
  <c r="M24" i="27"/>
  <c r="L72" i="24"/>
  <c r="I155" i="24" l="1"/>
  <c r="I157" i="24"/>
  <c r="I6" i="24" s="1"/>
  <c r="I7" i="24" s="1"/>
  <c r="I19" i="24"/>
  <c r="I18" i="24"/>
  <c r="I17" i="24"/>
  <c r="I113" i="24"/>
  <c r="N86" i="27"/>
  <c r="L86" i="24"/>
  <c r="L88" i="24" s="1"/>
  <c r="L112" i="24"/>
  <c r="K125" i="24"/>
  <c r="K136" i="24" s="1"/>
  <c r="K87" i="24"/>
  <c r="K151" i="24"/>
  <c r="K10" i="24"/>
  <c r="N24" i="27"/>
  <c r="M72" i="24"/>
  <c r="N114" i="24"/>
  <c r="N14" i="24"/>
  <c r="O18" i="26"/>
  <c r="N33" i="27"/>
  <c r="M75" i="24"/>
  <c r="N19" i="27"/>
  <c r="N70" i="24" s="1"/>
  <c r="N81" i="27"/>
  <c r="M116" i="24"/>
  <c r="N26" i="27"/>
  <c r="M74" i="24"/>
  <c r="J137" i="24"/>
  <c r="J15" i="24"/>
  <c r="O111" i="24"/>
  <c r="N25" i="27"/>
  <c r="M73" i="24"/>
  <c r="N149" i="24"/>
  <c r="O140" i="24"/>
  <c r="O149" i="24" s="1"/>
  <c r="N34" i="27"/>
  <c r="M77" i="24"/>
  <c r="O123" i="24"/>
  <c r="N29" i="27"/>
  <c r="M76" i="24"/>
  <c r="N20" i="27"/>
  <c r="M71" i="24"/>
  <c r="J154" i="24"/>
  <c r="O17" i="26"/>
  <c r="O16" i="26"/>
  <c r="I165" i="24" l="1"/>
  <c r="O86" i="27"/>
  <c r="K137" i="24"/>
  <c r="K15" i="24"/>
  <c r="O20" i="27"/>
  <c r="N71" i="24"/>
  <c r="O24" i="27"/>
  <c r="N72" i="24"/>
  <c r="O34" i="27"/>
  <c r="N77" i="24"/>
  <c r="O81" i="27"/>
  <c r="N116" i="24"/>
  <c r="O33" i="27"/>
  <c r="N75" i="24"/>
  <c r="O29" i="27"/>
  <c r="N76" i="24"/>
  <c r="M86" i="24"/>
  <c r="M88" i="24" s="1"/>
  <c r="M112" i="24"/>
  <c r="L125" i="24"/>
  <c r="L136" i="24" s="1"/>
  <c r="L87" i="24"/>
  <c r="L10" i="24"/>
  <c r="L151" i="24"/>
  <c r="O25" i="27"/>
  <c r="N73" i="24"/>
  <c r="O26" i="27"/>
  <c r="N74" i="24"/>
  <c r="K154" i="24"/>
  <c r="J155" i="24"/>
  <c r="J16" i="24"/>
  <c r="J113" i="24"/>
  <c r="J17" i="24"/>
  <c r="J157" i="24"/>
  <c r="O114" i="24"/>
  <c r="O14" i="24"/>
  <c r="O19" i="27"/>
  <c r="O70" i="24" s="1"/>
  <c r="L154" i="24" l="1"/>
  <c r="L157" i="24" s="1"/>
  <c r="L165" i="24" s="1"/>
  <c r="J19" i="24"/>
  <c r="J18" i="24"/>
  <c r="O74" i="24"/>
  <c r="O75" i="24"/>
  <c r="K155" i="24"/>
  <c r="K16" i="24"/>
  <c r="K113" i="24"/>
  <c r="K17" i="24"/>
  <c r="K157" i="24"/>
  <c r="O76" i="24"/>
  <c r="O71" i="24"/>
  <c r="M151" i="24"/>
  <c r="M125" i="24"/>
  <c r="M136" i="24" s="1"/>
  <c r="M87" i="24"/>
  <c r="M10" i="24"/>
  <c r="O73" i="24"/>
  <c r="O77" i="24"/>
  <c r="O72" i="24"/>
  <c r="L17" i="24"/>
  <c r="N86" i="24"/>
  <c r="N88" i="24" s="1"/>
  <c r="N112" i="24"/>
  <c r="J165" i="24"/>
  <c r="J6" i="24"/>
  <c r="J7" i="24" s="1"/>
  <c r="L137" i="24"/>
  <c r="L15" i="24"/>
  <c r="O116" i="24"/>
  <c r="L6" i="24" l="1"/>
  <c r="L7" i="24" s="1"/>
  <c r="L16" i="24"/>
  <c r="L19" i="24" s="1"/>
  <c r="L113" i="24"/>
  <c r="L155" i="24"/>
  <c r="O86" i="24"/>
  <c r="O88" i="24" s="1"/>
  <c r="O112" i="24"/>
  <c r="M137" i="24"/>
  <c r="M15" i="24"/>
  <c r="K165" i="24"/>
  <c r="K6" i="24"/>
  <c r="K7" i="24" s="1"/>
  <c r="M154" i="24"/>
  <c r="N151" i="24"/>
  <c r="N125" i="24"/>
  <c r="N136" i="24" s="1"/>
  <c r="N10" i="24"/>
  <c r="N87" i="24"/>
  <c r="K19" i="24"/>
  <c r="K18" i="24"/>
  <c r="L18" i="24" l="1"/>
  <c r="N154" i="24"/>
  <c r="N157" i="24" s="1"/>
  <c r="N165" i="24" s="1"/>
  <c r="O151" i="24"/>
  <c r="O125" i="24"/>
  <c r="O136" i="24" s="1"/>
  <c r="O10" i="24"/>
  <c r="O87" i="24"/>
  <c r="N137" i="24"/>
  <c r="N15" i="24"/>
  <c r="M113" i="24"/>
  <c r="M155" i="24"/>
  <c r="M16" i="24"/>
  <c r="M17" i="24"/>
  <c r="M157" i="24"/>
  <c r="N16" i="24" l="1"/>
  <c r="N19" i="24" s="1"/>
  <c r="N17" i="24"/>
  <c r="N155" i="24"/>
  <c r="N113" i="24"/>
  <c r="N6" i="24"/>
  <c r="N7" i="24" s="1"/>
  <c r="O137" i="24"/>
  <c r="O15" i="24"/>
  <c r="M165" i="24"/>
  <c r="M6" i="24"/>
  <c r="M7" i="24" s="1"/>
  <c r="M19" i="24"/>
  <c r="M18" i="24"/>
  <c r="O154" i="24"/>
  <c r="N18" i="24" l="1"/>
  <c r="O113" i="24"/>
  <c r="O16" i="24"/>
  <c r="O155" i="24"/>
  <c r="O17" i="24"/>
  <c r="O157" i="24"/>
  <c r="O165" i="24" l="1"/>
  <c r="O6" i="24"/>
  <c r="O7" i="24" s="1"/>
  <c r="O19" i="24"/>
  <c r="O18" i="24"/>
  <c r="B123" i="18" l="1"/>
  <c r="B116" i="18"/>
  <c r="B115" i="18"/>
  <c r="B114" i="18"/>
  <c r="B113" i="18"/>
  <c r="B112" i="18"/>
  <c r="B111" i="18"/>
  <c r="B110" i="18"/>
  <c r="B108" i="18"/>
  <c r="B107" i="18"/>
  <c r="B106" i="18"/>
  <c r="B105" i="18"/>
  <c r="B104" i="18"/>
  <c r="B103" i="18"/>
  <c r="B102" i="18"/>
  <c r="B100" i="18"/>
  <c r="B92" i="15"/>
  <c r="F85" i="14"/>
  <c r="G85" i="14"/>
  <c r="H85" i="14"/>
  <c r="I85" i="14"/>
  <c r="F86" i="14"/>
  <c r="G86" i="14"/>
  <c r="H86" i="14"/>
  <c r="I86" i="14"/>
  <c r="F87" i="14"/>
  <c r="G87" i="14"/>
  <c r="H87" i="14"/>
  <c r="I87" i="14"/>
  <c r="I84" i="14"/>
  <c r="H84" i="14"/>
  <c r="G84" i="14"/>
  <c r="F84" i="14"/>
  <c r="B89" i="14"/>
  <c r="B82" i="14"/>
  <c r="B81" i="14"/>
  <c r="B80" i="14"/>
  <c r="B79" i="14"/>
  <c r="B78" i="14"/>
  <c r="B77" i="14"/>
  <c r="B76" i="14"/>
  <c r="B74" i="14"/>
  <c r="B73" i="14"/>
  <c r="B72" i="14"/>
  <c r="B71" i="14"/>
  <c r="B70" i="14"/>
  <c r="B69" i="14"/>
  <c r="B68" i="14"/>
  <c r="B66" i="14"/>
  <c r="B65" i="14"/>
  <c r="B64" i="14"/>
  <c r="B63" i="14"/>
  <c r="B62" i="14"/>
  <c r="B61" i="14"/>
  <c r="B60" i="14"/>
  <c r="B146" i="17"/>
  <c r="B145" i="17"/>
  <c r="B144" i="17"/>
  <c r="B143" i="17"/>
  <c r="B142" i="17"/>
  <c r="B141" i="17"/>
  <c r="B140" i="17"/>
  <c r="B139" i="17"/>
  <c r="B138" i="17"/>
  <c r="B137" i="17"/>
  <c r="B136" i="17"/>
  <c r="B135" i="17"/>
  <c r="B134" i="17"/>
  <c r="B133" i="17"/>
  <c r="B132" i="17"/>
  <c r="B123" i="17"/>
  <c r="B121" i="17"/>
  <c r="B120" i="17"/>
  <c r="B119" i="17"/>
  <c r="B118" i="17"/>
  <c r="B116" i="17"/>
  <c r="B115" i="17"/>
  <c r="B114" i="17"/>
  <c r="B113" i="17"/>
  <c r="B112" i="17"/>
  <c r="B111" i="17"/>
  <c r="B110" i="17"/>
  <c r="B108" i="17"/>
  <c r="B106" i="17"/>
  <c r="B105" i="17"/>
  <c r="B104" i="17"/>
  <c r="B103" i="17"/>
  <c r="B102" i="17"/>
  <c r="B100" i="17"/>
  <c r="B99" i="17"/>
  <c r="B98" i="17"/>
  <c r="B97" i="17"/>
  <c r="B96" i="17"/>
  <c r="B95" i="17"/>
  <c r="B109" i="13"/>
  <c r="B108" i="13"/>
  <c r="B107" i="13"/>
  <c r="B106" i="13"/>
  <c r="B105" i="13"/>
  <c r="B104" i="13"/>
  <c r="B103" i="13"/>
  <c r="B102" i="13"/>
  <c r="B101" i="13"/>
  <c r="B100" i="13"/>
  <c r="B99" i="13"/>
  <c r="B98" i="13"/>
  <c r="B97" i="13"/>
  <c r="B96" i="13"/>
  <c r="B95" i="13"/>
  <c r="E82" i="13"/>
  <c r="E85" i="14" s="1"/>
  <c r="E83" i="13"/>
  <c r="E86" i="14" s="1"/>
  <c r="E84" i="13"/>
  <c r="E87" i="14" s="1"/>
  <c r="E81" i="13"/>
  <c r="C75" i="13"/>
  <c r="C76" i="13"/>
  <c r="C77" i="13"/>
  <c r="C78" i="13"/>
  <c r="C74" i="13"/>
  <c r="C67" i="13"/>
  <c r="C68" i="13"/>
  <c r="C69" i="13"/>
  <c r="C70" i="13"/>
  <c r="C66" i="13"/>
  <c r="C59" i="13"/>
  <c r="C60" i="13"/>
  <c r="C61" i="13"/>
  <c r="C62" i="13"/>
  <c r="C58" i="13"/>
  <c r="B86" i="13"/>
  <c r="B82" i="13"/>
  <c r="B79" i="13"/>
  <c r="B77" i="13"/>
  <c r="B76" i="13"/>
  <c r="B75" i="13"/>
  <c r="B74" i="13"/>
  <c r="B73" i="13"/>
  <c r="B71" i="13"/>
  <c r="B70" i="13"/>
  <c r="B68" i="13"/>
  <c r="B67" i="13"/>
  <c r="B66" i="13"/>
  <c r="B65" i="13"/>
  <c r="B63" i="13"/>
  <c r="B62" i="13"/>
  <c r="B61" i="13"/>
  <c r="B60" i="13"/>
  <c r="B59" i="13"/>
  <c r="B58" i="13"/>
  <c r="B57" i="13"/>
  <c r="B84" i="15"/>
  <c r="B78" i="15"/>
  <c r="B76" i="15"/>
  <c r="B70" i="15"/>
  <c r="B68" i="15"/>
  <c r="B110" i="15"/>
  <c r="B109" i="15"/>
  <c r="B108" i="15"/>
  <c r="B107" i="15"/>
  <c r="B106" i="15"/>
  <c r="B105" i="15"/>
  <c r="B104" i="15"/>
  <c r="B103" i="15"/>
  <c r="B102" i="15"/>
  <c r="B101" i="15"/>
  <c r="H53" i="3" l="1"/>
  <c r="H13" i="11" s="1"/>
  <c r="B3" i="19"/>
  <c r="B3" i="14"/>
  <c r="E3" i="17"/>
  <c r="E3" i="13"/>
  <c r="B3" i="11"/>
  <c r="E3" i="18"/>
  <c r="E3" i="15"/>
  <c r="E3" i="3"/>
  <c r="D6" i="10"/>
  <c r="I29" i="3"/>
  <c r="I15" i="14" s="1"/>
  <c r="H29" i="3"/>
  <c r="H15" i="14" s="1"/>
  <c r="G29" i="3"/>
  <c r="G15" i="14" s="1"/>
  <c r="F29" i="3"/>
  <c r="F15" i="14" s="1"/>
  <c r="E29" i="3"/>
  <c r="H24" i="14" l="1"/>
  <c r="H22" i="14"/>
  <c r="H23" i="14"/>
  <c r="E24" i="10"/>
  <c r="E15" i="14"/>
  <c r="E15" i="13"/>
  <c r="I24" i="14"/>
  <c r="I22" i="14"/>
  <c r="I23" i="14"/>
  <c r="G24" i="14"/>
  <c r="G22" i="14"/>
  <c r="G23" i="14"/>
  <c r="F24" i="14"/>
  <c r="F23" i="14"/>
  <c r="F22" i="14"/>
  <c r="I12" i="11"/>
  <c r="H12" i="11"/>
  <c r="G24" i="10"/>
  <c r="F12" i="11"/>
  <c r="H24" i="10"/>
  <c r="I24" i="10"/>
  <c r="F24" i="10"/>
  <c r="G12" i="11"/>
  <c r="E12" i="11"/>
  <c r="E19" i="13" l="1"/>
  <c r="E21" i="13"/>
  <c r="E24" i="14" s="1"/>
  <c r="E20" i="13"/>
  <c r="E23" i="14" s="1"/>
  <c r="E94" i="11"/>
  <c r="F94" i="11" s="1"/>
  <c r="G94" i="11" s="1"/>
  <c r="H94" i="11" s="1"/>
  <c r="I94" i="11" s="1"/>
  <c r="E48" i="11"/>
  <c r="I38" i="11"/>
  <c r="H38" i="11"/>
  <c r="G38" i="11"/>
  <c r="F38" i="11"/>
  <c r="E38" i="11"/>
  <c r="C79" i="13" s="1"/>
  <c r="B70" i="11"/>
  <c r="B69" i="11"/>
  <c r="B68" i="11"/>
  <c r="B67" i="11"/>
  <c r="I30" i="11"/>
  <c r="H30" i="11"/>
  <c r="G30" i="11"/>
  <c r="F30" i="11"/>
  <c r="E30" i="11"/>
  <c r="C71" i="13" s="1"/>
  <c r="B61" i="11"/>
  <c r="B60" i="11"/>
  <c r="B59" i="11"/>
  <c r="I22" i="11"/>
  <c r="H22" i="11"/>
  <c r="G22" i="11"/>
  <c r="F22" i="11"/>
  <c r="E22" i="11"/>
  <c r="C63" i="13" s="1"/>
  <c r="B55" i="11"/>
  <c r="B54" i="11"/>
  <c r="B53" i="11"/>
  <c r="B52" i="11"/>
  <c r="B51" i="11"/>
  <c r="E59" i="11" l="1"/>
  <c r="E66" i="13" s="1"/>
  <c r="E67" i="11"/>
  <c r="E74" i="13" s="1"/>
  <c r="E63" i="11"/>
  <c r="E70" i="13" s="1"/>
  <c r="E55" i="11"/>
  <c r="E62" i="13" s="1"/>
  <c r="E62" i="11"/>
  <c r="E69" i="13" s="1"/>
  <c r="E52" i="11"/>
  <c r="E53" i="11"/>
  <c r="E60" i="13" s="1"/>
  <c r="E61" i="11"/>
  <c r="E68" i="13" s="1"/>
  <c r="E68" i="11"/>
  <c r="E75" i="13" s="1"/>
  <c r="E69" i="11"/>
  <c r="E76" i="13" s="1"/>
  <c r="E70" i="11"/>
  <c r="E77" i="13" s="1"/>
  <c r="E71" i="11"/>
  <c r="E78" i="13" s="1"/>
  <c r="E60" i="11"/>
  <c r="E67" i="13" s="1"/>
  <c r="E51" i="11"/>
  <c r="E58" i="13" s="1"/>
  <c r="F48" i="11"/>
  <c r="I40" i="11"/>
  <c r="H40" i="11"/>
  <c r="G40" i="11"/>
  <c r="F40" i="11"/>
  <c r="E40" i="11"/>
  <c r="F51" i="11" l="1"/>
  <c r="F63" i="11"/>
  <c r="F73" i="14" s="1"/>
  <c r="F55" i="11"/>
  <c r="F67" i="11"/>
  <c r="F77" i="14" s="1"/>
  <c r="F69" i="11"/>
  <c r="F79" i="14" s="1"/>
  <c r="F71" i="11"/>
  <c r="F81" i="14" s="1"/>
  <c r="F59" i="11"/>
  <c r="F69" i="14" s="1"/>
  <c r="F61" i="11"/>
  <c r="F71" i="14" s="1"/>
  <c r="F61" i="14"/>
  <c r="F53" i="11"/>
  <c r="F63" i="14" s="1"/>
  <c r="F65" i="14"/>
  <c r="F68" i="11"/>
  <c r="F78" i="14" s="1"/>
  <c r="F70" i="11"/>
  <c r="F80" i="14" s="1"/>
  <c r="F60" i="11"/>
  <c r="F70" i="14" s="1"/>
  <c r="F62" i="11"/>
  <c r="F72" i="14" s="1"/>
  <c r="F52" i="11"/>
  <c r="F62" i="14" s="1"/>
  <c r="F54" i="11"/>
  <c r="F64" i="14" s="1"/>
  <c r="G98" i="11"/>
  <c r="G106" i="14" s="1"/>
  <c r="G96" i="11"/>
  <c r="G104" i="14" s="1"/>
  <c r="G88" i="11"/>
  <c r="G100" i="14" s="1"/>
  <c r="G97" i="11"/>
  <c r="G105" i="14" s="1"/>
  <c r="E88" i="11"/>
  <c r="E97" i="13" s="1"/>
  <c r="E100" i="14" s="1"/>
  <c r="E98" i="11"/>
  <c r="E103" i="13" s="1"/>
  <c r="E106" i="14" s="1"/>
  <c r="E97" i="11"/>
  <c r="E102" i="13" s="1"/>
  <c r="E105" i="14" s="1"/>
  <c r="E96" i="11"/>
  <c r="E101" i="13" s="1"/>
  <c r="E104" i="14" s="1"/>
  <c r="H98" i="11"/>
  <c r="H106" i="14" s="1"/>
  <c r="H97" i="11"/>
  <c r="H105" i="14" s="1"/>
  <c r="H88" i="11"/>
  <c r="H100" i="14" s="1"/>
  <c r="H96" i="11"/>
  <c r="H104" i="14" s="1"/>
  <c r="F88" i="11"/>
  <c r="F100" i="14" s="1"/>
  <c r="F98" i="11"/>
  <c r="F106" i="14" s="1"/>
  <c r="F96" i="11"/>
  <c r="F104" i="14" s="1"/>
  <c r="F97" i="11"/>
  <c r="F105" i="14" s="1"/>
  <c r="I97" i="11"/>
  <c r="I105" i="14" s="1"/>
  <c r="I96" i="11"/>
  <c r="I104" i="14" s="1"/>
  <c r="I88" i="11"/>
  <c r="I100" i="14" s="1"/>
  <c r="I98" i="11"/>
  <c r="I106" i="14" s="1"/>
  <c r="G48" i="11"/>
  <c r="G63" i="11" s="1"/>
  <c r="E64" i="11"/>
  <c r="E71" i="13" s="1"/>
  <c r="E74" i="14" s="1"/>
  <c r="E72" i="11"/>
  <c r="E79" i="13" s="1"/>
  <c r="E56" i="11"/>
  <c r="E63" i="13" s="1"/>
  <c r="E66" i="14" s="1"/>
  <c r="F56" i="11" l="1"/>
  <c r="F66" i="14" s="1"/>
  <c r="G67" i="11"/>
  <c r="G77" i="14" s="1"/>
  <c r="G69" i="11"/>
  <c r="G79" i="14" s="1"/>
  <c r="G71" i="11"/>
  <c r="G81" i="14" s="1"/>
  <c r="G52" i="11"/>
  <c r="G62" i="14" s="1"/>
  <c r="G59" i="11"/>
  <c r="G69" i="14" s="1"/>
  <c r="G61" i="11"/>
  <c r="G71" i="14" s="1"/>
  <c r="G73" i="14"/>
  <c r="G51" i="11"/>
  <c r="G61" i="14" s="1"/>
  <c r="G53" i="11"/>
  <c r="G63" i="14" s="1"/>
  <c r="G55" i="11"/>
  <c r="G65" i="14" s="1"/>
  <c r="G54" i="11"/>
  <c r="G64" i="14" s="1"/>
  <c r="G68" i="11"/>
  <c r="G78" i="14" s="1"/>
  <c r="G70" i="11"/>
  <c r="G80" i="14" s="1"/>
  <c r="G60" i="11"/>
  <c r="G70" i="14" s="1"/>
  <c r="G62" i="11"/>
  <c r="G72" i="14" s="1"/>
  <c r="F64" i="11"/>
  <c r="F74" i="14" s="1"/>
  <c r="F72" i="11"/>
  <c r="F82" i="14" s="1"/>
  <c r="H48" i="11"/>
  <c r="H63" i="11" s="1"/>
  <c r="E79" i="11"/>
  <c r="H52" i="11" l="1"/>
  <c r="H62" i="14" s="1"/>
  <c r="H54" i="11"/>
  <c r="H64" i="14" s="1"/>
  <c r="H67" i="11"/>
  <c r="H77" i="14" s="1"/>
  <c r="H69" i="11"/>
  <c r="H79" i="14" s="1"/>
  <c r="H71" i="11"/>
  <c r="H81" i="14" s="1"/>
  <c r="H59" i="11"/>
  <c r="H69" i="14" s="1"/>
  <c r="H61" i="11"/>
  <c r="H71" i="14" s="1"/>
  <c r="H73" i="14"/>
  <c r="H60" i="11"/>
  <c r="H70" i="14" s="1"/>
  <c r="H51" i="11"/>
  <c r="H61" i="14" s="1"/>
  <c r="H53" i="11"/>
  <c r="H63" i="14" s="1"/>
  <c r="H55" i="11"/>
  <c r="H65" i="14" s="1"/>
  <c r="H68" i="11"/>
  <c r="H78" i="14" s="1"/>
  <c r="H70" i="11"/>
  <c r="H80" i="14" s="1"/>
  <c r="H62" i="11"/>
  <c r="H72" i="14" s="1"/>
  <c r="G64" i="11"/>
  <c r="G74" i="14" s="1"/>
  <c r="E102" i="11"/>
  <c r="E100" i="11"/>
  <c r="E104" i="11"/>
  <c r="E105" i="11"/>
  <c r="E91" i="11"/>
  <c r="E100" i="13" s="1"/>
  <c r="E103" i="14" s="1"/>
  <c r="E86" i="13"/>
  <c r="E103" i="11"/>
  <c r="E90" i="11"/>
  <c r="E99" i="13" s="1"/>
  <c r="E102" i="14" s="1"/>
  <c r="E86" i="11"/>
  <c r="E95" i="13" s="1"/>
  <c r="E87" i="11"/>
  <c r="E96" i="13" s="1"/>
  <c r="E99" i="14" s="1"/>
  <c r="E89" i="11"/>
  <c r="E98" i="13" s="1"/>
  <c r="E101" i="14" s="1"/>
  <c r="E101" i="11"/>
  <c r="F79" i="11"/>
  <c r="G72" i="11"/>
  <c r="G82" i="14" s="1"/>
  <c r="G56" i="11"/>
  <c r="G66" i="14" s="1"/>
  <c r="I48" i="11"/>
  <c r="I63" i="11" s="1"/>
  <c r="I60" i="11" l="1"/>
  <c r="I70" i="14" s="1"/>
  <c r="I62" i="11"/>
  <c r="I72" i="14" s="1"/>
  <c r="I52" i="11"/>
  <c r="I62" i="14" s="1"/>
  <c r="I54" i="11"/>
  <c r="I64" i="14" s="1"/>
  <c r="I67" i="11"/>
  <c r="I77" i="14" s="1"/>
  <c r="I69" i="11"/>
  <c r="I79" i="14" s="1"/>
  <c r="I71" i="11"/>
  <c r="I81" i="14" s="1"/>
  <c r="I68" i="11"/>
  <c r="I78" i="14" s="1"/>
  <c r="I59" i="11"/>
  <c r="I69" i="14" s="1"/>
  <c r="I61" i="11"/>
  <c r="I71" i="14" s="1"/>
  <c r="I73" i="14"/>
  <c r="I51" i="11"/>
  <c r="I61" i="14" s="1"/>
  <c r="I53" i="11"/>
  <c r="I63" i="14" s="1"/>
  <c r="I55" i="11"/>
  <c r="I65" i="14" s="1"/>
  <c r="I70" i="11"/>
  <c r="I80" i="14" s="1"/>
  <c r="E107" i="13"/>
  <c r="E109" i="13"/>
  <c r="G79" i="11"/>
  <c r="E108" i="13"/>
  <c r="E105" i="13"/>
  <c r="E104" i="13"/>
  <c r="F105" i="11"/>
  <c r="F112" i="14" s="1"/>
  <c r="F91" i="11"/>
  <c r="F103" i="14" s="1"/>
  <c r="F103" i="11"/>
  <c r="F110" i="14" s="1"/>
  <c r="F89" i="11"/>
  <c r="F101" i="14" s="1"/>
  <c r="F86" i="11"/>
  <c r="F98" i="14" s="1"/>
  <c r="F101" i="11"/>
  <c r="F108" i="14" s="1"/>
  <c r="F100" i="11"/>
  <c r="F107" i="14" s="1"/>
  <c r="F89" i="14"/>
  <c r="F90" i="11"/>
  <c r="F102" i="14" s="1"/>
  <c r="F102" i="11"/>
  <c r="F109" i="14" s="1"/>
  <c r="F104" i="11"/>
  <c r="F111" i="14" s="1"/>
  <c r="F87" i="11"/>
  <c r="F99" i="14" s="1"/>
  <c r="E106" i="13"/>
  <c r="H64" i="11"/>
  <c r="H74" i="14" s="1"/>
  <c r="H72" i="11"/>
  <c r="H82" i="14" s="1"/>
  <c r="H56" i="11"/>
  <c r="H66" i="14" s="1"/>
  <c r="I72" i="11" l="1"/>
  <c r="I82" i="14" s="1"/>
  <c r="I64" i="11"/>
  <c r="I74" i="14" s="1"/>
  <c r="I56" i="11"/>
  <c r="I66" i="14" s="1"/>
  <c r="G91" i="11"/>
  <c r="G103" i="14" s="1"/>
  <c r="G103" i="11"/>
  <c r="G110" i="14" s="1"/>
  <c r="G89" i="11"/>
  <c r="G101" i="14" s="1"/>
  <c r="G86" i="11"/>
  <c r="G98" i="14" s="1"/>
  <c r="G101" i="11"/>
  <c r="G108" i="14" s="1"/>
  <c r="G105" i="11"/>
  <c r="G112" i="14" s="1"/>
  <c r="G104" i="11"/>
  <c r="G111" i="14" s="1"/>
  <c r="G87" i="11"/>
  <c r="G99" i="14" s="1"/>
  <c r="G89" i="14"/>
  <c r="G90" i="11"/>
  <c r="G102" i="14" s="1"/>
  <c r="G100" i="11"/>
  <c r="G107" i="14" s="1"/>
  <c r="G102" i="11"/>
  <c r="G109" i="14" s="1"/>
  <c r="H79" i="11"/>
  <c r="I79" i="11" l="1"/>
  <c r="I101" i="11" s="1"/>
  <c r="I108" i="14" s="1"/>
  <c r="H103" i="11"/>
  <c r="H110" i="14" s="1"/>
  <c r="H89" i="11"/>
  <c r="H101" i="14" s="1"/>
  <c r="H86" i="11"/>
  <c r="H98" i="14" s="1"/>
  <c r="H100" i="11"/>
  <c r="H107" i="14" s="1"/>
  <c r="H105" i="11"/>
  <c r="H112" i="14" s="1"/>
  <c r="H101" i="11"/>
  <c r="H108" i="14" s="1"/>
  <c r="H104" i="11"/>
  <c r="H111" i="14" s="1"/>
  <c r="H87" i="11"/>
  <c r="H99" i="14" s="1"/>
  <c r="H89" i="14"/>
  <c r="H90" i="11"/>
  <c r="H102" i="14" s="1"/>
  <c r="H102" i="11"/>
  <c r="H109" i="14" s="1"/>
  <c r="H91" i="11"/>
  <c r="H103" i="14" s="1"/>
  <c r="B174" i="13"/>
  <c r="B211" i="17" s="1"/>
  <c r="G112" i="18"/>
  <c r="B175" i="13"/>
  <c r="B212" i="17" s="1"/>
  <c r="B214" i="18"/>
  <c r="B215" i="18"/>
  <c r="B216" i="18"/>
  <c r="B217" i="18"/>
  <c r="B207" i="18"/>
  <c r="B208" i="18"/>
  <c r="B209" i="18"/>
  <c r="B210" i="18"/>
  <c r="B190" i="18"/>
  <c r="B191" i="18"/>
  <c r="B192" i="18"/>
  <c r="B193" i="18"/>
  <c r="B194" i="18"/>
  <c r="B195" i="18"/>
  <c r="B196" i="18"/>
  <c r="B197" i="18"/>
  <c r="B198" i="18"/>
  <c r="B199" i="18"/>
  <c r="B200" i="18"/>
  <c r="B201" i="18"/>
  <c r="B202" i="18"/>
  <c r="B203" i="18"/>
  <c r="B173" i="18"/>
  <c r="B174" i="18"/>
  <c r="B175" i="18"/>
  <c r="B176" i="18"/>
  <c r="B177" i="18"/>
  <c r="B178" i="18"/>
  <c r="B179" i="18"/>
  <c r="B180" i="18"/>
  <c r="B181" i="18"/>
  <c r="B182" i="18"/>
  <c r="B183" i="18"/>
  <c r="B184" i="18"/>
  <c r="B185" i="18"/>
  <c r="B186" i="18"/>
  <c r="B155" i="18"/>
  <c r="B156" i="18"/>
  <c r="B157" i="18"/>
  <c r="B158" i="18"/>
  <c r="B159" i="18"/>
  <c r="B160" i="18"/>
  <c r="B161" i="18"/>
  <c r="B162" i="18"/>
  <c r="B163" i="18"/>
  <c r="B164" i="18"/>
  <c r="B165" i="18"/>
  <c r="B166" i="18"/>
  <c r="B167" i="18"/>
  <c r="B169" i="18"/>
  <c r="E82" i="18"/>
  <c r="F82" i="18" s="1"/>
  <c r="E80" i="18"/>
  <c r="E81" i="18"/>
  <c r="F81" i="18" s="1"/>
  <c r="E207" i="18"/>
  <c r="Q207" i="18" s="1"/>
  <c r="E206" i="18"/>
  <c r="K206" i="18" s="1"/>
  <c r="E195" i="18"/>
  <c r="E197" i="18"/>
  <c r="F197" i="18" s="1"/>
  <c r="E198" i="18"/>
  <c r="J198" i="18" s="1"/>
  <c r="E182" i="18"/>
  <c r="F182" i="18" s="1"/>
  <c r="E179" i="18"/>
  <c r="O179" i="18" s="1"/>
  <c r="J166" i="18"/>
  <c r="Q157" i="18"/>
  <c r="K154" i="18"/>
  <c r="N155" i="18"/>
  <c r="E68" i="15"/>
  <c r="E100" i="18" s="1"/>
  <c r="E84" i="15"/>
  <c r="E116" i="18" s="1"/>
  <c r="E113" i="18"/>
  <c r="L113" i="18" s="1"/>
  <c r="E114" i="18"/>
  <c r="K114" i="18" s="1"/>
  <c r="E111" i="18"/>
  <c r="E95" i="18"/>
  <c r="H95" i="18" s="1"/>
  <c r="E211" i="17"/>
  <c r="E212" i="17"/>
  <c r="E210" i="17"/>
  <c r="L210" i="17" s="1"/>
  <c r="E209" i="17"/>
  <c r="E201" i="17"/>
  <c r="L201" i="17" s="1"/>
  <c r="E193" i="17"/>
  <c r="H193" i="17" s="1"/>
  <c r="E194" i="17"/>
  <c r="I194" i="17" s="1"/>
  <c r="E195" i="17"/>
  <c r="E196" i="17"/>
  <c r="J196" i="17" s="1"/>
  <c r="E26" i="13"/>
  <c r="E188" i="17"/>
  <c r="O188" i="17" s="1"/>
  <c r="E189" i="17"/>
  <c r="L189" i="17" s="1"/>
  <c r="E190" i="17"/>
  <c r="E187" i="17"/>
  <c r="E184" i="17"/>
  <c r="O184" i="17" s="1"/>
  <c r="E185" i="17"/>
  <c r="E186" i="17"/>
  <c r="E183" i="17"/>
  <c r="E182" i="17"/>
  <c r="K182" i="17" s="1"/>
  <c r="E181" i="17"/>
  <c r="E179" i="17"/>
  <c r="E178" i="17"/>
  <c r="E180" i="17"/>
  <c r="K180" i="17" s="1"/>
  <c r="E177" i="17"/>
  <c r="E176" i="17"/>
  <c r="Q176" i="17" s="1"/>
  <c r="E138" i="17"/>
  <c r="F138" i="17" s="1"/>
  <c r="E139" i="17"/>
  <c r="N139" i="17" s="1"/>
  <c r="E140" i="17"/>
  <c r="F160" i="17"/>
  <c r="F161" i="17"/>
  <c r="Q162" i="17"/>
  <c r="L163" i="17"/>
  <c r="F164" i="17"/>
  <c r="J165" i="17"/>
  <c r="G166" i="17"/>
  <c r="K167" i="17"/>
  <c r="F168" i="17"/>
  <c r="Q169" i="17"/>
  <c r="O170" i="17"/>
  <c r="J171" i="17"/>
  <c r="J172" i="17"/>
  <c r="P173" i="17"/>
  <c r="M159" i="17"/>
  <c r="E80" i="17"/>
  <c r="E68" i="17"/>
  <c r="G73" i="3"/>
  <c r="E122" i="14"/>
  <c r="F122" i="14" s="1"/>
  <c r="G122" i="14" s="1"/>
  <c r="H122" i="14" s="1"/>
  <c r="I122" i="14" s="1"/>
  <c r="E13" i="13"/>
  <c r="E13" i="14" s="1"/>
  <c r="F13" i="14" s="1"/>
  <c r="G13" i="14" s="1"/>
  <c r="H13" i="14" s="1"/>
  <c r="I13" i="14" s="1"/>
  <c r="B140" i="13"/>
  <c r="B177" i="17" s="1"/>
  <c r="B141" i="13"/>
  <c r="B178" i="17" s="1"/>
  <c r="B142" i="13"/>
  <c r="B145" i="14" s="1"/>
  <c r="B143" i="13"/>
  <c r="B180" i="17" s="1"/>
  <c r="B144" i="13"/>
  <c r="B181" i="17" s="1"/>
  <c r="B145" i="13"/>
  <c r="B182" i="17" s="1"/>
  <c r="B146" i="13"/>
  <c r="B183" i="17" s="1"/>
  <c r="B147" i="13"/>
  <c r="B184" i="17" s="1"/>
  <c r="B148" i="13"/>
  <c r="B185" i="17" s="1"/>
  <c r="B149" i="13"/>
  <c r="B152" i="14" s="1"/>
  <c r="B150" i="13"/>
  <c r="B187" i="17" s="1"/>
  <c r="B151" i="13"/>
  <c r="B188" i="17" s="1"/>
  <c r="B152" i="13"/>
  <c r="B189" i="17" s="1"/>
  <c r="B153" i="13"/>
  <c r="B190" i="17" s="1"/>
  <c r="B123" i="13"/>
  <c r="B160" i="17" s="1"/>
  <c r="B124" i="13"/>
  <c r="B161" i="17" s="1"/>
  <c r="B125" i="13"/>
  <c r="B162" i="17" s="1"/>
  <c r="B126" i="13"/>
  <c r="B163" i="17" s="1"/>
  <c r="B127" i="13"/>
  <c r="B164" i="17" s="1"/>
  <c r="B128" i="13"/>
  <c r="B165" i="17" s="1"/>
  <c r="B129" i="13"/>
  <c r="B166" i="17" s="1"/>
  <c r="B130" i="13"/>
  <c r="B167" i="17" s="1"/>
  <c r="B131" i="13"/>
  <c r="B168" i="17" s="1"/>
  <c r="B132" i="13"/>
  <c r="B169" i="17" s="1"/>
  <c r="B133" i="13"/>
  <c r="B170" i="17" s="1"/>
  <c r="B134" i="13"/>
  <c r="B171" i="17" s="1"/>
  <c r="B135" i="13"/>
  <c r="B172" i="17" s="1"/>
  <c r="B136" i="13"/>
  <c r="B173" i="17" s="1"/>
  <c r="I39" i="14"/>
  <c r="I40" i="14"/>
  <c r="I41" i="14"/>
  <c r="I42" i="14"/>
  <c r="I43" i="14"/>
  <c r="I18" i="19"/>
  <c r="H39" i="14"/>
  <c r="H40" i="14"/>
  <c r="H41" i="14"/>
  <c r="H42" i="14"/>
  <c r="H43" i="14"/>
  <c r="H18" i="19"/>
  <c r="G39" i="14"/>
  <c r="G40" i="14"/>
  <c r="G41" i="14"/>
  <c r="G42" i="14"/>
  <c r="G43" i="14"/>
  <c r="G18" i="19"/>
  <c r="F39" i="14"/>
  <c r="F40" i="14"/>
  <c r="F41" i="14"/>
  <c r="F42" i="14"/>
  <c r="F43" i="14"/>
  <c r="F18" i="19"/>
  <c r="E112" i="18"/>
  <c r="N112" i="18" s="1"/>
  <c r="E115" i="18"/>
  <c r="H115" i="18" s="1"/>
  <c r="E104" i="18"/>
  <c r="M104" i="18" s="1"/>
  <c r="E105" i="18"/>
  <c r="H105" i="18" s="1"/>
  <c r="E106" i="18"/>
  <c r="F106" i="18" s="1"/>
  <c r="E107" i="18"/>
  <c r="J107" i="18" s="1"/>
  <c r="E96" i="18"/>
  <c r="J96" i="18" s="1"/>
  <c r="E97" i="18"/>
  <c r="L97" i="18" s="1"/>
  <c r="E98" i="18"/>
  <c r="J98" i="18" s="1"/>
  <c r="E99" i="18"/>
  <c r="H99" i="18" s="1"/>
  <c r="F27" i="19"/>
  <c r="G27" i="19"/>
  <c r="H27" i="19"/>
  <c r="I27" i="19"/>
  <c r="E184" i="14"/>
  <c r="E185" i="14"/>
  <c r="E186" i="14"/>
  <c r="E187" i="14"/>
  <c r="E188" i="14"/>
  <c r="E176" i="14"/>
  <c r="E159" i="14"/>
  <c r="H173" i="14"/>
  <c r="E142" i="14"/>
  <c r="E125" i="14"/>
  <c r="F127" i="14"/>
  <c r="G127" i="14" s="1"/>
  <c r="H127" i="14" s="1"/>
  <c r="I127" i="14" s="1"/>
  <c r="F128" i="14"/>
  <c r="G128" i="14" s="1"/>
  <c r="H128" i="14" s="1"/>
  <c r="I128" i="14" s="1"/>
  <c r="F129" i="14"/>
  <c r="G129" i="14" s="1"/>
  <c r="H129" i="14" s="1"/>
  <c r="I129" i="14" s="1"/>
  <c r="F130" i="14"/>
  <c r="G130" i="14" s="1"/>
  <c r="H130" i="14" s="1"/>
  <c r="I130" i="14" s="1"/>
  <c r="F131" i="14"/>
  <c r="G131" i="14" s="1"/>
  <c r="H131" i="14" s="1"/>
  <c r="I131" i="14" s="1"/>
  <c r="F132" i="14"/>
  <c r="G132" i="14" s="1"/>
  <c r="H132" i="14" s="1"/>
  <c r="I132" i="14" s="1"/>
  <c r="F133" i="14"/>
  <c r="G133" i="14" s="1"/>
  <c r="H133" i="14" s="1"/>
  <c r="I133" i="14" s="1"/>
  <c r="F134" i="14"/>
  <c r="G134" i="14" s="1"/>
  <c r="H134" i="14" s="1"/>
  <c r="I134" i="14" s="1"/>
  <c r="F135" i="14"/>
  <c r="G135" i="14" s="1"/>
  <c r="H135" i="14" s="1"/>
  <c r="I135" i="14" s="1"/>
  <c r="F136" i="14"/>
  <c r="G136" i="14" s="1"/>
  <c r="H136" i="14" s="1"/>
  <c r="I136" i="14" s="1"/>
  <c r="F137" i="14"/>
  <c r="G137" i="14" s="1"/>
  <c r="H137" i="14" s="1"/>
  <c r="I137" i="14" s="1"/>
  <c r="F138" i="14"/>
  <c r="G138" i="14" s="1"/>
  <c r="H138" i="14" s="1"/>
  <c r="I138" i="14" s="1"/>
  <c r="D27" i="19"/>
  <c r="D26" i="19"/>
  <c r="D25" i="19"/>
  <c r="D24" i="19"/>
  <c r="D18" i="19"/>
  <c r="D16" i="19"/>
  <c r="E49" i="14"/>
  <c r="E50" i="14"/>
  <c r="E39" i="14"/>
  <c r="E40" i="14"/>
  <c r="E41" i="14"/>
  <c r="E42" i="14"/>
  <c r="E43" i="14"/>
  <c r="E11" i="13"/>
  <c r="E11" i="19"/>
  <c r="F11" i="19" s="1"/>
  <c r="G11" i="19" s="1"/>
  <c r="H11" i="19" s="1"/>
  <c r="I11" i="19" s="1"/>
  <c r="B133" i="18"/>
  <c r="B134" i="18"/>
  <c r="B135" i="18"/>
  <c r="B136" i="18"/>
  <c r="B137" i="18"/>
  <c r="B138" i="18"/>
  <c r="B139" i="18"/>
  <c r="B140" i="18"/>
  <c r="B141" i="18"/>
  <c r="B132" i="18"/>
  <c r="G86" i="18"/>
  <c r="H86" i="18"/>
  <c r="I86" i="18"/>
  <c r="J86" i="18"/>
  <c r="K86" i="18"/>
  <c r="L86" i="18"/>
  <c r="M86" i="18"/>
  <c r="N86" i="18"/>
  <c r="O86" i="18"/>
  <c r="P86" i="18"/>
  <c r="Q86" i="18"/>
  <c r="F86" i="18"/>
  <c r="B68" i="18"/>
  <c r="F14" i="18"/>
  <c r="B45" i="13"/>
  <c r="B82" i="17" s="1"/>
  <c r="B46" i="13"/>
  <c r="B49" i="14" s="1"/>
  <c r="B47" i="13"/>
  <c r="B84" i="17" s="1"/>
  <c r="B79" i="17"/>
  <c r="B74" i="17"/>
  <c r="B75" i="17"/>
  <c r="B76" i="17"/>
  <c r="B77" i="17"/>
  <c r="B73" i="17"/>
  <c r="B72" i="17"/>
  <c r="B64" i="17"/>
  <c r="B65" i="17"/>
  <c r="B66" i="17"/>
  <c r="B67" i="17"/>
  <c r="B68" i="17"/>
  <c r="B69" i="17"/>
  <c r="B70" i="17"/>
  <c r="B63" i="17"/>
  <c r="B57" i="17"/>
  <c r="B58" i="17"/>
  <c r="B60" i="17"/>
  <c r="B56" i="17"/>
  <c r="H18" i="18"/>
  <c r="L20" i="18"/>
  <c r="M18" i="18"/>
  <c r="E68" i="18"/>
  <c r="R68" i="18"/>
  <c r="R18" i="18" s="1"/>
  <c r="R80" i="18"/>
  <c r="E103" i="18"/>
  <c r="I103" i="18" s="1"/>
  <c r="E118" i="18"/>
  <c r="E140" i="18"/>
  <c r="G140" i="18" s="1"/>
  <c r="E172" i="18"/>
  <c r="E173" i="18"/>
  <c r="E115" i="17" s="1"/>
  <c r="E118" i="17"/>
  <c r="E214" i="18"/>
  <c r="K214" i="18" s="1"/>
  <c r="E215" i="18"/>
  <c r="E216" i="18"/>
  <c r="E217" i="18"/>
  <c r="J217" i="18" s="1"/>
  <c r="E213" i="18"/>
  <c r="E208" i="18"/>
  <c r="E209" i="18"/>
  <c r="E210" i="18"/>
  <c r="B213" i="18"/>
  <c r="B206" i="18"/>
  <c r="E190" i="18"/>
  <c r="E191" i="18"/>
  <c r="E192" i="18"/>
  <c r="E193" i="18"/>
  <c r="E194" i="18"/>
  <c r="E196" i="18"/>
  <c r="E199" i="18"/>
  <c r="E200" i="18"/>
  <c r="E201" i="18"/>
  <c r="E202" i="18"/>
  <c r="E203" i="18"/>
  <c r="E189" i="18"/>
  <c r="G158" i="18"/>
  <c r="O162" i="18"/>
  <c r="B189" i="18"/>
  <c r="E174" i="18"/>
  <c r="E175" i="18"/>
  <c r="E176" i="18"/>
  <c r="I176" i="18" s="1"/>
  <c r="E177" i="18"/>
  <c r="K177" i="18" s="1"/>
  <c r="E178" i="18"/>
  <c r="E180" i="18"/>
  <c r="E181" i="18"/>
  <c r="F181" i="18" s="1"/>
  <c r="E183" i="18"/>
  <c r="E184" i="18"/>
  <c r="E185" i="18"/>
  <c r="E186" i="18"/>
  <c r="Q186" i="18" s="1"/>
  <c r="B172" i="18"/>
  <c r="B154" i="18"/>
  <c r="E119" i="18"/>
  <c r="E120" i="18"/>
  <c r="E121" i="18"/>
  <c r="J121" i="18" s="1"/>
  <c r="B119" i="18"/>
  <c r="B120" i="18"/>
  <c r="B121" i="18"/>
  <c r="B118" i="18"/>
  <c r="B99" i="18"/>
  <c r="B96" i="18"/>
  <c r="B97" i="18"/>
  <c r="B98" i="18"/>
  <c r="B95" i="18"/>
  <c r="B82" i="18"/>
  <c r="B83" i="18"/>
  <c r="B84" i="18"/>
  <c r="B81" i="18"/>
  <c r="B80" i="18"/>
  <c r="G20" i="18"/>
  <c r="H20" i="18"/>
  <c r="I20" i="18"/>
  <c r="J20" i="18"/>
  <c r="K20" i="18"/>
  <c r="M20" i="18"/>
  <c r="N20" i="18"/>
  <c r="O20" i="18"/>
  <c r="P20" i="18"/>
  <c r="Q20" i="18"/>
  <c r="E119" i="17"/>
  <c r="E120" i="17"/>
  <c r="E76" i="15"/>
  <c r="E108" i="18" s="1"/>
  <c r="B184" i="13"/>
  <c r="B183" i="13"/>
  <c r="B220" i="17" s="1"/>
  <c r="B182" i="13"/>
  <c r="B181" i="13"/>
  <c r="B218" i="17" s="1"/>
  <c r="B180" i="13"/>
  <c r="B177" i="13"/>
  <c r="B214" i="17" s="1"/>
  <c r="B173" i="13"/>
  <c r="B210" i="17" s="1"/>
  <c r="B172" i="13"/>
  <c r="B169" i="13"/>
  <c r="B206" i="17" s="1"/>
  <c r="B167" i="13"/>
  <c r="B166" i="13"/>
  <c r="B203" i="17" s="1"/>
  <c r="B165" i="13"/>
  <c r="B164" i="13"/>
  <c r="B201" i="17" s="1"/>
  <c r="B163" i="13"/>
  <c r="B162" i="13"/>
  <c r="B199" i="17" s="1"/>
  <c r="B161" i="13"/>
  <c r="B160" i="13"/>
  <c r="B197" i="17" s="1"/>
  <c r="B159" i="13"/>
  <c r="B158" i="13"/>
  <c r="B195" i="17" s="1"/>
  <c r="B157" i="13"/>
  <c r="B156" i="13"/>
  <c r="B193" i="17" s="1"/>
  <c r="B148" i="14"/>
  <c r="B139" i="13"/>
  <c r="B176" i="17" s="1"/>
  <c r="B130" i="14"/>
  <c r="B131" i="14"/>
  <c r="B138" i="14"/>
  <c r="B122" i="13"/>
  <c r="B159" i="17" s="1"/>
  <c r="B44" i="13"/>
  <c r="B43" i="13"/>
  <c r="B80" i="17" s="1"/>
  <c r="B41" i="14"/>
  <c r="B42" i="14"/>
  <c r="B43" i="14"/>
  <c r="B40" i="14"/>
  <c r="B39" i="14"/>
  <c r="B36" i="14"/>
  <c r="B35" i="14"/>
  <c r="B26" i="14"/>
  <c r="E84" i="17"/>
  <c r="E83" i="17"/>
  <c r="E81" i="17"/>
  <c r="E77" i="17"/>
  <c r="E76" i="17"/>
  <c r="E75" i="17"/>
  <c r="E74" i="17"/>
  <c r="E73" i="17"/>
  <c r="E70" i="17"/>
  <c r="E69" i="17"/>
  <c r="E67" i="17"/>
  <c r="O67" i="17" s="1"/>
  <c r="E66" i="17"/>
  <c r="E65" i="17"/>
  <c r="E64" i="17"/>
  <c r="C84" i="15"/>
  <c r="C76" i="15"/>
  <c r="C68" i="15"/>
  <c r="R69" i="18"/>
  <c r="R70" i="18"/>
  <c r="R81" i="18"/>
  <c r="R82" i="18"/>
  <c r="R83" i="18"/>
  <c r="R84" i="18"/>
  <c r="E69" i="18"/>
  <c r="E70" i="18"/>
  <c r="E73" i="18"/>
  <c r="S73" i="18" s="1"/>
  <c r="E74" i="18"/>
  <c r="S74" i="18" s="1"/>
  <c r="E75" i="18"/>
  <c r="S75" i="18" s="1"/>
  <c r="E76" i="18"/>
  <c r="S76" i="18" s="1"/>
  <c r="E77" i="18"/>
  <c r="S77" i="18" s="1"/>
  <c r="E83" i="18"/>
  <c r="S83" i="18" s="1"/>
  <c r="E84" i="18"/>
  <c r="S84" i="18" s="1"/>
  <c r="G18" i="18"/>
  <c r="I18" i="18"/>
  <c r="J18" i="18"/>
  <c r="K18" i="18"/>
  <c r="L18" i="18"/>
  <c r="N18" i="18"/>
  <c r="O18" i="18"/>
  <c r="P18" i="18"/>
  <c r="Q18" i="18"/>
  <c r="F17" i="18"/>
  <c r="G17" i="18"/>
  <c r="G19" i="18"/>
  <c r="H17" i="18"/>
  <c r="H19" i="18"/>
  <c r="I17" i="18"/>
  <c r="I19" i="18"/>
  <c r="J17" i="18"/>
  <c r="J19" i="18"/>
  <c r="K17" i="18"/>
  <c r="K19" i="18"/>
  <c r="L17" i="18"/>
  <c r="L19" i="18"/>
  <c r="M17" i="18"/>
  <c r="M19" i="18"/>
  <c r="N17" i="18"/>
  <c r="N19" i="18"/>
  <c r="O17" i="18"/>
  <c r="O19" i="18"/>
  <c r="P17" i="18"/>
  <c r="P19" i="18"/>
  <c r="Q17" i="18"/>
  <c r="Q19" i="18"/>
  <c r="E11" i="14"/>
  <c r="E95" i="14" s="1"/>
  <c r="E11" i="17"/>
  <c r="E11" i="3"/>
  <c r="E78" i="18"/>
  <c r="E72" i="18"/>
  <c r="E150" i="18"/>
  <c r="E151" i="18"/>
  <c r="F151" i="18" s="1"/>
  <c r="G151" i="18" s="1"/>
  <c r="H151" i="18" s="1"/>
  <c r="I151" i="18" s="1"/>
  <c r="J151" i="18" s="1"/>
  <c r="K151" i="18" s="1"/>
  <c r="L151" i="18" s="1"/>
  <c r="M151" i="18" s="1"/>
  <c r="S151" i="18" s="1"/>
  <c r="F150" i="18"/>
  <c r="G150" i="18"/>
  <c r="H150" i="18"/>
  <c r="I150" i="18"/>
  <c r="J150" i="18"/>
  <c r="K150" i="18"/>
  <c r="L150" i="18"/>
  <c r="M150" i="18"/>
  <c r="S150" i="18"/>
  <c r="R150" i="18"/>
  <c r="Q150" i="18"/>
  <c r="P150" i="18"/>
  <c r="O150" i="18"/>
  <c r="N150" i="18"/>
  <c r="F10" i="18"/>
  <c r="G10" i="18" s="1"/>
  <c r="E148" i="18"/>
  <c r="S92" i="18"/>
  <c r="S130" i="18" s="1"/>
  <c r="R92" i="18"/>
  <c r="R130" i="18" s="1"/>
  <c r="Q92" i="18"/>
  <c r="Q130" i="18" s="1"/>
  <c r="P92" i="18"/>
  <c r="P130" i="18"/>
  <c r="O92" i="18"/>
  <c r="O130" i="18" s="1"/>
  <c r="N92" i="18"/>
  <c r="N130" i="18" s="1"/>
  <c r="M92" i="18"/>
  <c r="M130" i="18" s="1"/>
  <c r="L92" i="18"/>
  <c r="L130" i="18" s="1"/>
  <c r="K92" i="18"/>
  <c r="K130" i="18" s="1"/>
  <c r="J92" i="18"/>
  <c r="J130" i="18" s="1"/>
  <c r="I92" i="18"/>
  <c r="I130" i="18" s="1"/>
  <c r="H92" i="18"/>
  <c r="H130" i="18" s="1"/>
  <c r="G92" i="18"/>
  <c r="G130" i="18" s="1"/>
  <c r="F92" i="18"/>
  <c r="F130" i="18"/>
  <c r="E92" i="18"/>
  <c r="E130" i="18" s="1"/>
  <c r="E90" i="18"/>
  <c r="E128" i="18" s="1"/>
  <c r="S50" i="18"/>
  <c r="R50" i="18"/>
  <c r="Q50" i="18"/>
  <c r="P50" i="18"/>
  <c r="O50" i="18"/>
  <c r="N50" i="18"/>
  <c r="M50" i="18"/>
  <c r="L50" i="18"/>
  <c r="K50" i="18"/>
  <c r="J50" i="18"/>
  <c r="I50" i="18"/>
  <c r="H50" i="18"/>
  <c r="G50" i="18"/>
  <c r="F50" i="18"/>
  <c r="E50" i="18"/>
  <c r="E48" i="18"/>
  <c r="R17" i="18"/>
  <c r="R19" i="18"/>
  <c r="F10" i="17"/>
  <c r="F48" i="17" s="1"/>
  <c r="F50" i="17"/>
  <c r="G50" i="17"/>
  <c r="H50" i="17"/>
  <c r="I50" i="17"/>
  <c r="J50" i="17"/>
  <c r="K50" i="17"/>
  <c r="L50" i="17"/>
  <c r="M50" i="17"/>
  <c r="N50" i="17"/>
  <c r="O50" i="17"/>
  <c r="P50" i="17"/>
  <c r="Q50" i="17"/>
  <c r="R50" i="17"/>
  <c r="S50" i="17"/>
  <c r="E50" i="17"/>
  <c r="E48" i="17"/>
  <c r="E197" i="17"/>
  <c r="E198" i="17"/>
  <c r="E199" i="17"/>
  <c r="E200" i="17"/>
  <c r="E202" i="17"/>
  <c r="E203" i="17"/>
  <c r="E204" i="17"/>
  <c r="E205" i="17"/>
  <c r="E206" i="17"/>
  <c r="E214" i="17"/>
  <c r="E217" i="17"/>
  <c r="E218" i="17"/>
  <c r="E219" i="17"/>
  <c r="E220" i="17"/>
  <c r="E221" i="17"/>
  <c r="E60" i="17"/>
  <c r="F155" i="17"/>
  <c r="G155" i="17"/>
  <c r="H155" i="17"/>
  <c r="I155" i="17"/>
  <c r="J155" i="17"/>
  <c r="K155" i="17"/>
  <c r="L155" i="17"/>
  <c r="M155" i="17"/>
  <c r="N155" i="17"/>
  <c r="O155" i="17"/>
  <c r="P155" i="17"/>
  <c r="Q155" i="17"/>
  <c r="R155" i="17"/>
  <c r="S155" i="17"/>
  <c r="E155" i="17"/>
  <c r="E156" i="17" s="1"/>
  <c r="F156" i="17" s="1"/>
  <c r="G156" i="17" s="1"/>
  <c r="H156" i="17" s="1"/>
  <c r="I156" i="17" s="1"/>
  <c r="J156" i="17" s="1"/>
  <c r="K156" i="17" s="1"/>
  <c r="L156" i="17" s="1"/>
  <c r="M156" i="17" s="1"/>
  <c r="S156" i="17" s="1"/>
  <c r="E153" i="17"/>
  <c r="E121" i="17"/>
  <c r="F92" i="17"/>
  <c r="F130" i="17" s="1"/>
  <c r="G92" i="17"/>
  <c r="G130" i="17" s="1"/>
  <c r="H92" i="17"/>
  <c r="H130" i="17" s="1"/>
  <c r="I92" i="17"/>
  <c r="I130" i="17" s="1"/>
  <c r="J92" i="17"/>
  <c r="J130" i="17" s="1"/>
  <c r="K92" i="17"/>
  <c r="K130" i="17" s="1"/>
  <c r="L92" i="17"/>
  <c r="L130" i="17" s="1"/>
  <c r="M92" i="17"/>
  <c r="M130" i="17" s="1"/>
  <c r="N92" i="17"/>
  <c r="N130" i="17" s="1"/>
  <c r="O92" i="17"/>
  <c r="O130" i="17" s="1"/>
  <c r="P92" i="17"/>
  <c r="P130" i="17" s="1"/>
  <c r="Q92" i="17"/>
  <c r="Q130" i="17" s="1"/>
  <c r="R92" i="17"/>
  <c r="R130" i="17" s="1"/>
  <c r="S92" i="17"/>
  <c r="S130" i="17" s="1"/>
  <c r="E92" i="17"/>
  <c r="E130" i="17" s="1"/>
  <c r="E90" i="17"/>
  <c r="E128" i="17" s="1"/>
  <c r="E188" i="15"/>
  <c r="E120" i="15"/>
  <c r="E48" i="15"/>
  <c r="E86" i="18" s="1"/>
  <c r="E13" i="15"/>
  <c r="E26" i="14"/>
  <c r="F26" i="14" s="1"/>
  <c r="G26" i="14" s="1"/>
  <c r="H26" i="14" s="1"/>
  <c r="I26" i="14" s="1"/>
  <c r="E30" i="14"/>
  <c r="E31" i="14"/>
  <c r="E32" i="14"/>
  <c r="E33" i="14"/>
  <c r="E35" i="14"/>
  <c r="E36" i="14"/>
  <c r="E67" i="14"/>
  <c r="E44" i="14"/>
  <c r="E45" i="14"/>
  <c r="E12" i="14"/>
  <c r="E186" i="13"/>
  <c r="E119" i="13"/>
  <c r="F53" i="3"/>
  <c r="E53" i="3"/>
  <c r="E13" i="11" s="1"/>
  <c r="G53" i="3"/>
  <c r="G13" i="11" s="1"/>
  <c r="I53" i="3"/>
  <c r="I13" i="11" s="1"/>
  <c r="F72" i="3"/>
  <c r="F73" i="3"/>
  <c r="I72" i="3"/>
  <c r="F66" i="3"/>
  <c r="F63" i="3"/>
  <c r="I68" i="3"/>
  <c r="H68" i="3"/>
  <c r="G68" i="3"/>
  <c r="F68" i="3"/>
  <c r="E68" i="3"/>
  <c r="S17" i="18"/>
  <c r="E17" i="18"/>
  <c r="I66" i="3"/>
  <c r="I63" i="3"/>
  <c r="I73" i="3"/>
  <c r="I31" i="3"/>
  <c r="J106" i="18" l="1"/>
  <c r="F48" i="18"/>
  <c r="S81" i="18"/>
  <c r="G148" i="18"/>
  <c r="G48" i="18"/>
  <c r="F90" i="18"/>
  <c r="F128" i="18" s="1"/>
  <c r="Q198" i="18"/>
  <c r="F198" i="18"/>
  <c r="F148" i="18"/>
  <c r="S82" i="18"/>
  <c r="E31" i="18"/>
  <c r="I198" i="18"/>
  <c r="S19" i="18"/>
  <c r="G154" i="18"/>
  <c r="B156" i="14"/>
  <c r="S69" i="18"/>
  <c r="R20" i="18"/>
  <c r="R22" i="18" s="1"/>
  <c r="B129" i="14"/>
  <c r="B137" i="14"/>
  <c r="B144" i="14"/>
  <c r="B179" i="14"/>
  <c r="B186" i="17"/>
  <c r="B136" i="14"/>
  <c r="I17" i="19"/>
  <c r="H17" i="19"/>
  <c r="G17" i="19"/>
  <c r="F17" i="19"/>
  <c r="G10" i="17"/>
  <c r="H10" i="17" s="1"/>
  <c r="H153" i="17" s="1"/>
  <c r="F90" i="17"/>
  <c r="F128" i="17" s="1"/>
  <c r="F153" i="17"/>
  <c r="E31" i="17"/>
  <c r="B150" i="14"/>
  <c r="F104" i="18"/>
  <c r="B48" i="14"/>
  <c r="B128" i="14"/>
  <c r="Q96" i="18"/>
  <c r="P115" i="18"/>
  <c r="O198" i="18"/>
  <c r="B151" i="14"/>
  <c r="P105" i="18"/>
  <c r="B177" i="14"/>
  <c r="J115" i="18"/>
  <c r="N198" i="18"/>
  <c r="J112" i="18"/>
  <c r="F112" i="18"/>
  <c r="S70" i="18"/>
  <c r="B143" i="14"/>
  <c r="B83" i="17"/>
  <c r="M107" i="18"/>
  <c r="O114" i="18"/>
  <c r="K198" i="18"/>
  <c r="B178" i="14"/>
  <c r="Q106" i="18"/>
  <c r="G114" i="18"/>
  <c r="B179" i="17"/>
  <c r="E18" i="19"/>
  <c r="B149" i="14"/>
  <c r="B126" i="14"/>
  <c r="B167" i="14"/>
  <c r="B173" i="14"/>
  <c r="B134" i="14"/>
  <c r="B161" i="14"/>
  <c r="B185" i="14"/>
  <c r="B155" i="14"/>
  <c r="B147" i="14"/>
  <c r="B135" i="14"/>
  <c r="B127" i="14"/>
  <c r="B154" i="14"/>
  <c r="B146" i="14"/>
  <c r="B163" i="14"/>
  <c r="B153" i="14"/>
  <c r="B50" i="14"/>
  <c r="B133" i="14"/>
  <c r="B142" i="14"/>
  <c r="B159" i="14"/>
  <c r="B187" i="14"/>
  <c r="B125" i="14"/>
  <c r="B132" i="14"/>
  <c r="B165" i="14"/>
  <c r="E27" i="19"/>
  <c r="E17" i="19"/>
  <c r="E23" i="19"/>
  <c r="N98" i="18"/>
  <c r="H98" i="18"/>
  <c r="E30" i="17"/>
  <c r="Q194" i="17"/>
  <c r="E28" i="17"/>
  <c r="I168" i="17"/>
  <c r="L172" i="17"/>
  <c r="G170" i="17"/>
  <c r="H172" i="17"/>
  <c r="P171" i="17"/>
  <c r="H171" i="17"/>
  <c r="Q160" i="17"/>
  <c r="P170" i="17"/>
  <c r="L170" i="17"/>
  <c r="O162" i="17"/>
  <c r="G162" i="17"/>
  <c r="F172" i="17"/>
  <c r="M171" i="17"/>
  <c r="K171" i="17"/>
  <c r="Q172" i="17"/>
  <c r="I171" i="17"/>
  <c r="N168" i="17"/>
  <c r="P162" i="17"/>
  <c r="B181" i="14"/>
  <c r="B169" i="14"/>
  <c r="J160" i="17"/>
  <c r="P172" i="17"/>
  <c r="Q171" i="17"/>
  <c r="G171" i="17"/>
  <c r="P169" i="17"/>
  <c r="Q167" i="17"/>
  <c r="N163" i="17"/>
  <c r="N172" i="17"/>
  <c r="N169" i="17"/>
  <c r="M163" i="17"/>
  <c r="E27" i="17"/>
  <c r="M172" i="17"/>
  <c r="O171" i="17"/>
  <c r="Q170" i="17"/>
  <c r="F169" i="17"/>
  <c r="P166" i="17"/>
  <c r="K163" i="17"/>
  <c r="P161" i="17"/>
  <c r="K166" i="17"/>
  <c r="J163" i="17"/>
  <c r="N161" i="17"/>
  <c r="I172" i="17"/>
  <c r="L171" i="17"/>
  <c r="M170" i="17"/>
  <c r="O168" i="17"/>
  <c r="H166" i="17"/>
  <c r="F163" i="17"/>
  <c r="I161" i="17"/>
  <c r="Q159" i="17"/>
  <c r="N159" i="17"/>
  <c r="L159" i="17"/>
  <c r="K159" i="17"/>
  <c r="I159" i="17"/>
  <c r="I86" i="11"/>
  <c r="I98" i="14" s="1"/>
  <c r="I90" i="11"/>
  <c r="I102" i="14" s="1"/>
  <c r="I89" i="14"/>
  <c r="I100" i="11"/>
  <c r="I107" i="14" s="1"/>
  <c r="I91" i="11"/>
  <c r="I103" i="14" s="1"/>
  <c r="I89" i="11"/>
  <c r="I101" i="14" s="1"/>
  <c r="I87" i="11"/>
  <c r="I99" i="14" s="1"/>
  <c r="I105" i="11"/>
  <c r="I112" i="14" s="1"/>
  <c r="I104" i="11"/>
  <c r="I111" i="14" s="1"/>
  <c r="I102" i="11"/>
  <c r="I109" i="14" s="1"/>
  <c r="I103" i="11"/>
  <c r="I110" i="14" s="1"/>
  <c r="O207" i="18"/>
  <c r="K207" i="18"/>
  <c r="I166" i="18"/>
  <c r="E27" i="18"/>
  <c r="M155" i="18"/>
  <c r="G155" i="18"/>
  <c r="N113" i="18"/>
  <c r="Q99" i="18"/>
  <c r="J95" i="18"/>
  <c r="E34" i="14"/>
  <c r="P194" i="17"/>
  <c r="N194" i="17"/>
  <c r="L194" i="17"/>
  <c r="J194" i="17"/>
  <c r="F194" i="17"/>
  <c r="Q193" i="17"/>
  <c r="M193" i="17"/>
  <c r="J193" i="17"/>
  <c r="I188" i="17"/>
  <c r="P182" i="17"/>
  <c r="O164" i="17"/>
  <c r="O173" i="17"/>
  <c r="J167" i="17"/>
  <c r="G164" i="17"/>
  <c r="K173" i="17"/>
  <c r="K170" i="17"/>
  <c r="L169" i="17"/>
  <c r="M168" i="17"/>
  <c r="P167" i="17"/>
  <c r="H167" i="17"/>
  <c r="Q163" i="17"/>
  <c r="I163" i="17"/>
  <c r="L162" i="17"/>
  <c r="M161" i="17"/>
  <c r="O160" i="17"/>
  <c r="L173" i="17"/>
  <c r="I167" i="17"/>
  <c r="E190" i="14"/>
  <c r="E223" i="17"/>
  <c r="I173" i="17"/>
  <c r="N171" i="17"/>
  <c r="F171" i="17"/>
  <c r="I170" i="17"/>
  <c r="J169" i="17"/>
  <c r="K168" i="17"/>
  <c r="O167" i="17"/>
  <c r="G167" i="17"/>
  <c r="P163" i="17"/>
  <c r="H163" i="17"/>
  <c r="K162" i="17"/>
  <c r="L161" i="17"/>
  <c r="N160" i="17"/>
  <c r="G173" i="17"/>
  <c r="H170" i="17"/>
  <c r="I169" i="17"/>
  <c r="J168" i="17"/>
  <c r="N167" i="17"/>
  <c r="F167" i="17"/>
  <c r="O163" i="17"/>
  <c r="G163" i="17"/>
  <c r="I162" i="17"/>
  <c r="J161" i="17"/>
  <c r="K160" i="17"/>
  <c r="Q173" i="17"/>
  <c r="G168" i="17"/>
  <c r="L167" i="17"/>
  <c r="M164" i="17"/>
  <c r="H161" i="17"/>
  <c r="I160" i="17"/>
  <c r="M167" i="17"/>
  <c r="Q168" i="17"/>
  <c r="M166" i="17"/>
  <c r="J164" i="17"/>
  <c r="Q161" i="17"/>
  <c r="F159" i="17"/>
  <c r="J159" i="17"/>
  <c r="P159" i="17"/>
  <c r="H159" i="17"/>
  <c r="O159" i="17"/>
  <c r="G159" i="17"/>
  <c r="O139" i="17"/>
  <c r="L139" i="17"/>
  <c r="K139" i="17"/>
  <c r="S68" i="18"/>
  <c r="S18" i="18" s="1"/>
  <c r="M207" i="18"/>
  <c r="J207" i="18"/>
  <c r="G207" i="18"/>
  <c r="F207" i="18"/>
  <c r="F206" i="18"/>
  <c r="I182" i="18"/>
  <c r="E28" i="18"/>
  <c r="E219" i="18"/>
  <c r="G166" i="18"/>
  <c r="O166" i="18"/>
  <c r="N166" i="18"/>
  <c r="M166" i="18"/>
  <c r="I155" i="18"/>
  <c r="F155" i="18"/>
  <c r="Q155" i="18"/>
  <c r="F154" i="18"/>
  <c r="O154" i="18"/>
  <c r="M154" i="18"/>
  <c r="P113" i="18"/>
  <c r="O113" i="18"/>
  <c r="P111" i="18"/>
  <c r="C91" i="15"/>
  <c r="I99" i="18"/>
  <c r="E92" i="15"/>
  <c r="P95" i="18"/>
  <c r="N95" i="18"/>
  <c r="D19" i="19"/>
  <c r="I55" i="3"/>
  <c r="E55" i="3"/>
  <c r="E11" i="15"/>
  <c r="D11" i="19" s="1"/>
  <c r="F55" i="3"/>
  <c r="F13" i="11"/>
  <c r="F71" i="3"/>
  <c r="F11" i="3"/>
  <c r="F11" i="11" s="1"/>
  <c r="E11" i="11"/>
  <c r="E92" i="13"/>
  <c r="E117" i="13"/>
  <c r="P140" i="17"/>
  <c r="J140" i="17"/>
  <c r="J139" i="17"/>
  <c r="H139" i="17"/>
  <c r="G139" i="17"/>
  <c r="P139" i="17"/>
  <c r="F139" i="17"/>
  <c r="E84" i="14"/>
  <c r="I74" i="3"/>
  <c r="I71" i="3"/>
  <c r="H73" i="3"/>
  <c r="H66" i="3"/>
  <c r="H63" i="3"/>
  <c r="H72" i="3"/>
  <c r="G31" i="3"/>
  <c r="G66" i="3"/>
  <c r="H31" i="3"/>
  <c r="G72" i="3"/>
  <c r="G74" i="3" s="1"/>
  <c r="G63" i="3"/>
  <c r="E66" i="3"/>
  <c r="E57" i="17"/>
  <c r="E63" i="17"/>
  <c r="E18" i="17" s="1"/>
  <c r="E29" i="14"/>
  <c r="E63" i="3"/>
  <c r="E73" i="3"/>
  <c r="E31" i="3"/>
  <c r="E72" i="3"/>
  <c r="F31" i="3"/>
  <c r="E120" i="14"/>
  <c r="E54" i="13"/>
  <c r="E11" i="18"/>
  <c r="E91" i="18" s="1"/>
  <c r="E129" i="18" s="1"/>
  <c r="F11" i="14"/>
  <c r="E57" i="14"/>
  <c r="F204" i="17"/>
  <c r="J204" i="17"/>
  <c r="N204" i="17"/>
  <c r="K204" i="17"/>
  <c r="P204" i="17"/>
  <c r="G204" i="17"/>
  <c r="M204" i="17"/>
  <c r="H204" i="17"/>
  <c r="O204" i="17"/>
  <c r="L204" i="17"/>
  <c r="Q204" i="17"/>
  <c r="I204" i="17"/>
  <c r="F11" i="17"/>
  <c r="E91" i="17"/>
  <c r="E129" i="17" s="1"/>
  <c r="F66" i="17"/>
  <c r="J66" i="17"/>
  <c r="N66" i="17"/>
  <c r="K66" i="17"/>
  <c r="P66" i="17"/>
  <c r="G66" i="17"/>
  <c r="L66" i="17"/>
  <c r="Q66" i="17"/>
  <c r="O66" i="17"/>
  <c r="H66" i="17"/>
  <c r="M66" i="17"/>
  <c r="I66" i="17"/>
  <c r="F120" i="17"/>
  <c r="J120" i="17"/>
  <c r="N120" i="17"/>
  <c r="I120" i="17"/>
  <c r="O120" i="17"/>
  <c r="L120" i="17"/>
  <c r="G120" i="17"/>
  <c r="M120" i="17"/>
  <c r="K120" i="17"/>
  <c r="P120" i="17"/>
  <c r="H120" i="17"/>
  <c r="Q120" i="17"/>
  <c r="H184" i="18"/>
  <c r="L184" i="18"/>
  <c r="P184" i="18"/>
  <c r="J184" i="18"/>
  <c r="O184" i="18"/>
  <c r="G184" i="18"/>
  <c r="N184" i="18"/>
  <c r="I184" i="18"/>
  <c r="Q184" i="18"/>
  <c r="F184" i="18"/>
  <c r="K184" i="18"/>
  <c r="M184" i="18"/>
  <c r="H174" i="18"/>
  <c r="L174" i="18"/>
  <c r="P174" i="18"/>
  <c r="G174" i="18"/>
  <c r="M174" i="18"/>
  <c r="F174" i="18"/>
  <c r="N174" i="18"/>
  <c r="I174" i="18"/>
  <c r="O174" i="18"/>
  <c r="J174" i="18"/>
  <c r="Q174" i="18"/>
  <c r="K174" i="18"/>
  <c r="H160" i="18"/>
  <c r="L160" i="18"/>
  <c r="P160" i="18"/>
  <c r="I160" i="18"/>
  <c r="N160" i="18"/>
  <c r="F160" i="18"/>
  <c r="M160" i="18"/>
  <c r="G160" i="18"/>
  <c r="O160" i="18"/>
  <c r="Q160" i="18"/>
  <c r="J160" i="18"/>
  <c r="K160" i="18"/>
  <c r="I189" i="18"/>
  <c r="M189" i="18"/>
  <c r="Q189" i="18"/>
  <c r="K189" i="18"/>
  <c r="P189" i="18"/>
  <c r="J189" i="18"/>
  <c r="F189" i="18"/>
  <c r="L189" i="18"/>
  <c r="G189" i="18"/>
  <c r="N189" i="18"/>
  <c r="H189" i="18"/>
  <c r="O189" i="18"/>
  <c r="E29" i="18"/>
  <c r="H193" i="18"/>
  <c r="L193" i="18"/>
  <c r="P193" i="18"/>
  <c r="I193" i="18"/>
  <c r="N193" i="18"/>
  <c r="F193" i="18"/>
  <c r="M193" i="18"/>
  <c r="G193" i="18"/>
  <c r="O193" i="18"/>
  <c r="J193" i="18"/>
  <c r="Q193" i="18"/>
  <c r="K193" i="18"/>
  <c r="H208" i="18"/>
  <c r="L208" i="18"/>
  <c r="P208" i="18"/>
  <c r="G208" i="18"/>
  <c r="M208" i="18"/>
  <c r="K208" i="18"/>
  <c r="F208" i="18"/>
  <c r="N208" i="18"/>
  <c r="I208" i="18"/>
  <c r="O208" i="18"/>
  <c r="J208" i="18"/>
  <c r="Q208" i="18"/>
  <c r="H215" i="18"/>
  <c r="L215" i="18"/>
  <c r="P215" i="18"/>
  <c r="G215" i="18"/>
  <c r="M215" i="18"/>
  <c r="I215" i="18"/>
  <c r="N215" i="18"/>
  <c r="K215" i="18"/>
  <c r="O215" i="18"/>
  <c r="F215" i="18"/>
  <c r="Q215" i="18"/>
  <c r="J215" i="18"/>
  <c r="F115" i="17"/>
  <c r="J115" i="17"/>
  <c r="N115" i="17"/>
  <c r="H115" i="17"/>
  <c r="M115" i="17"/>
  <c r="L115" i="17"/>
  <c r="G115" i="17"/>
  <c r="O115" i="17"/>
  <c r="Q115" i="17"/>
  <c r="I115" i="17"/>
  <c r="K115" i="17"/>
  <c r="P115" i="17"/>
  <c r="H173" i="18"/>
  <c r="L173" i="18"/>
  <c r="P173" i="18"/>
  <c r="I173" i="18"/>
  <c r="N173" i="18"/>
  <c r="K173" i="18"/>
  <c r="F173" i="18"/>
  <c r="M173" i="18"/>
  <c r="G173" i="18"/>
  <c r="O173" i="18"/>
  <c r="J173" i="18"/>
  <c r="Q173" i="18"/>
  <c r="G55" i="3"/>
  <c r="H55" i="3"/>
  <c r="G90" i="17"/>
  <c r="G128" i="17" s="1"/>
  <c r="F119" i="17"/>
  <c r="J119" i="17"/>
  <c r="N119" i="17"/>
  <c r="K119" i="17"/>
  <c r="P119" i="17"/>
  <c r="I119" i="17"/>
  <c r="Q119" i="17"/>
  <c r="L119" i="17"/>
  <c r="H119" i="17"/>
  <c r="M119" i="17"/>
  <c r="G119" i="17"/>
  <c r="O119" i="17"/>
  <c r="F205" i="17"/>
  <c r="J205" i="17"/>
  <c r="N205" i="17"/>
  <c r="H205" i="17"/>
  <c r="M205" i="17"/>
  <c r="K205" i="17"/>
  <c r="Q205" i="17"/>
  <c r="L205" i="17"/>
  <c r="P205" i="17"/>
  <c r="G205" i="17"/>
  <c r="O205" i="17"/>
  <c r="I205" i="17"/>
  <c r="H69" i="17"/>
  <c r="L69" i="17"/>
  <c r="P69" i="17"/>
  <c r="I69" i="17"/>
  <c r="M69" i="17"/>
  <c r="Q69" i="17"/>
  <c r="K69" i="17"/>
  <c r="F69" i="17"/>
  <c r="N69" i="17"/>
  <c r="J69" i="17"/>
  <c r="O69" i="17"/>
  <c r="G69" i="17"/>
  <c r="F75" i="17"/>
  <c r="J75" i="17"/>
  <c r="N75" i="17"/>
  <c r="H75" i="17"/>
  <c r="M75" i="17"/>
  <c r="I75" i="17"/>
  <c r="O75" i="17"/>
  <c r="L75" i="17"/>
  <c r="P75" i="17"/>
  <c r="G75" i="17"/>
  <c r="K75" i="17"/>
  <c r="Q75" i="17"/>
  <c r="B194" i="17"/>
  <c r="B160" i="14"/>
  <c r="B202" i="17"/>
  <c r="B168" i="14"/>
  <c r="B217" i="17"/>
  <c r="B184" i="14"/>
  <c r="I200" i="17"/>
  <c r="M200" i="17"/>
  <c r="F200" i="17"/>
  <c r="J200" i="17"/>
  <c r="N200" i="17"/>
  <c r="H200" i="17"/>
  <c r="P200" i="17"/>
  <c r="K200" i="17"/>
  <c r="L200" i="17"/>
  <c r="Q200" i="17"/>
  <c r="G200" i="17"/>
  <c r="O200" i="17"/>
  <c r="H90" i="17"/>
  <c r="H128" i="17" s="1"/>
  <c r="H48" i="17"/>
  <c r="F74" i="17"/>
  <c r="J74" i="17"/>
  <c r="N74" i="17"/>
  <c r="I74" i="17"/>
  <c r="O74" i="17"/>
  <c r="K74" i="17"/>
  <c r="P74" i="17"/>
  <c r="M74" i="17"/>
  <c r="G74" i="17"/>
  <c r="Q74" i="17"/>
  <c r="L74" i="17"/>
  <c r="H74" i="17"/>
  <c r="B196" i="17"/>
  <c r="B162" i="14"/>
  <c r="B204" i="17"/>
  <c r="B170" i="14"/>
  <c r="B219" i="17"/>
  <c r="B186" i="14"/>
  <c r="H178" i="18"/>
  <c r="L178" i="18"/>
  <c r="P178" i="18"/>
  <c r="G178" i="18"/>
  <c r="M178" i="18"/>
  <c r="I178" i="18"/>
  <c r="O178" i="18"/>
  <c r="J178" i="18"/>
  <c r="Q178" i="18"/>
  <c r="F178" i="18"/>
  <c r="K178" i="18"/>
  <c r="N178" i="18"/>
  <c r="H164" i="18"/>
  <c r="L164" i="18"/>
  <c r="P164" i="18"/>
  <c r="I164" i="18"/>
  <c r="N164" i="18"/>
  <c r="G164" i="18"/>
  <c r="O164" i="18"/>
  <c r="J164" i="18"/>
  <c r="Q164" i="18"/>
  <c r="K164" i="18"/>
  <c r="M164" i="18"/>
  <c r="F164" i="18"/>
  <c r="H200" i="18"/>
  <c r="L200" i="18"/>
  <c r="P200" i="18"/>
  <c r="J200" i="18"/>
  <c r="O200" i="18"/>
  <c r="G200" i="18"/>
  <c r="N200" i="18"/>
  <c r="I200" i="18"/>
  <c r="Q200" i="18"/>
  <c r="K200" i="18"/>
  <c r="F200" i="18"/>
  <c r="M200" i="18"/>
  <c r="E30" i="18"/>
  <c r="F74" i="3"/>
  <c r="F33" i="14"/>
  <c r="G33" i="14"/>
  <c r="I33" i="14"/>
  <c r="H33" i="14"/>
  <c r="E154" i="17"/>
  <c r="G153" i="17"/>
  <c r="H60" i="17"/>
  <c r="L60" i="17"/>
  <c r="P60" i="17"/>
  <c r="I60" i="17"/>
  <c r="M60" i="17"/>
  <c r="Q60" i="17"/>
  <c r="K60" i="17"/>
  <c r="F60" i="17"/>
  <c r="N60" i="17"/>
  <c r="G60" i="17"/>
  <c r="J60" i="17"/>
  <c r="O60" i="17"/>
  <c r="G217" i="17"/>
  <c r="K217" i="17"/>
  <c r="O217" i="17"/>
  <c r="H217" i="17"/>
  <c r="M217" i="17"/>
  <c r="F217" i="17"/>
  <c r="N217" i="17"/>
  <c r="I217" i="17"/>
  <c r="P217" i="17"/>
  <c r="J217" i="17"/>
  <c r="L217" i="17"/>
  <c r="Q217" i="17"/>
  <c r="E49" i="17"/>
  <c r="I10" i="17"/>
  <c r="F83" i="17"/>
  <c r="J83" i="17"/>
  <c r="N83" i="17"/>
  <c r="H83" i="17"/>
  <c r="M83" i="17"/>
  <c r="I83" i="17"/>
  <c r="O83" i="17"/>
  <c r="G83" i="17"/>
  <c r="Q83" i="17"/>
  <c r="K83" i="17"/>
  <c r="L83" i="17"/>
  <c r="P83" i="17"/>
  <c r="B81" i="17"/>
  <c r="B200" i="17"/>
  <c r="B166" i="14"/>
  <c r="B209" i="17"/>
  <c r="B176" i="14"/>
  <c r="R86" i="18"/>
  <c r="S80" i="18"/>
  <c r="G90" i="18"/>
  <c r="G128" i="18" s="1"/>
  <c r="F32" i="14"/>
  <c r="G32" i="14"/>
  <c r="H32" i="14"/>
  <c r="I32" i="14"/>
  <c r="F121" i="17"/>
  <c r="J121" i="17"/>
  <c r="N121" i="17"/>
  <c r="H121" i="17"/>
  <c r="M121" i="17"/>
  <c r="G121" i="17"/>
  <c r="O121" i="17"/>
  <c r="I121" i="17"/>
  <c r="P121" i="17"/>
  <c r="L121" i="17"/>
  <c r="Q121" i="17"/>
  <c r="K121" i="17"/>
  <c r="F219" i="17"/>
  <c r="J219" i="17"/>
  <c r="N219" i="17"/>
  <c r="K219" i="17"/>
  <c r="P219" i="17"/>
  <c r="G219" i="17"/>
  <c r="M219" i="17"/>
  <c r="H219" i="17"/>
  <c r="O219" i="17"/>
  <c r="L219" i="17"/>
  <c r="I219" i="17"/>
  <c r="Q219" i="17"/>
  <c r="F202" i="17"/>
  <c r="J202" i="17"/>
  <c r="N202" i="17"/>
  <c r="H202" i="17"/>
  <c r="M202" i="17"/>
  <c r="I202" i="17"/>
  <c r="P202" i="17"/>
  <c r="K202" i="17"/>
  <c r="Q202" i="17"/>
  <c r="G202" i="17"/>
  <c r="L202" i="17"/>
  <c r="O202" i="17"/>
  <c r="H198" i="17"/>
  <c r="L198" i="17"/>
  <c r="P198" i="17"/>
  <c r="I198" i="17"/>
  <c r="N198" i="17"/>
  <c r="J198" i="17"/>
  <c r="O198" i="17"/>
  <c r="M198" i="17"/>
  <c r="G198" i="17"/>
  <c r="K198" i="17"/>
  <c r="Q198" i="17"/>
  <c r="F198" i="17"/>
  <c r="G48" i="17"/>
  <c r="H10" i="18"/>
  <c r="F22" i="18"/>
  <c r="F65" i="17"/>
  <c r="J65" i="17"/>
  <c r="N65" i="17"/>
  <c r="G65" i="17"/>
  <c r="L65" i="17"/>
  <c r="Q65" i="17"/>
  <c r="H65" i="17"/>
  <c r="M65" i="17"/>
  <c r="P65" i="17"/>
  <c r="I65" i="17"/>
  <c r="K65" i="17"/>
  <c r="O65" i="17"/>
  <c r="F84" i="17"/>
  <c r="J84" i="17"/>
  <c r="N84" i="17"/>
  <c r="G84" i="17"/>
  <c r="L84" i="17"/>
  <c r="Q84" i="17"/>
  <c r="H84" i="17"/>
  <c r="M84" i="17"/>
  <c r="P84" i="17"/>
  <c r="I84" i="17"/>
  <c r="O84" i="17"/>
  <c r="K84" i="17"/>
  <c r="B198" i="17"/>
  <c r="B164" i="14"/>
  <c r="B205" i="17"/>
  <c r="B172" i="14"/>
  <c r="B221" i="17"/>
  <c r="B188" i="14"/>
  <c r="I119" i="18"/>
  <c r="M119" i="18"/>
  <c r="Q119" i="18"/>
  <c r="F119" i="18"/>
  <c r="K119" i="18"/>
  <c r="P119" i="18"/>
  <c r="G119" i="18"/>
  <c r="N119" i="18"/>
  <c r="H119" i="18"/>
  <c r="O119" i="18"/>
  <c r="J119" i="18"/>
  <c r="L119" i="18"/>
  <c r="H185" i="18"/>
  <c r="L185" i="18"/>
  <c r="P185" i="18"/>
  <c r="I185" i="18"/>
  <c r="N185" i="18"/>
  <c r="J185" i="18"/>
  <c r="Q185" i="18"/>
  <c r="K185" i="18"/>
  <c r="F185" i="18"/>
  <c r="G185" i="18"/>
  <c r="M185" i="18"/>
  <c r="O185" i="18"/>
  <c r="H180" i="18"/>
  <c r="L180" i="18"/>
  <c r="P180" i="18"/>
  <c r="J180" i="18"/>
  <c r="O180" i="18"/>
  <c r="F180" i="18"/>
  <c r="M180" i="18"/>
  <c r="G180" i="18"/>
  <c r="N180" i="18"/>
  <c r="I180" i="18"/>
  <c r="K180" i="18"/>
  <c r="Q180" i="18"/>
  <c r="H175" i="18"/>
  <c r="L175" i="18"/>
  <c r="P175" i="18"/>
  <c r="F175" i="18"/>
  <c r="K175" i="18"/>
  <c r="Q175" i="18"/>
  <c r="I175" i="18"/>
  <c r="O175" i="18"/>
  <c r="J175" i="18"/>
  <c r="M175" i="18"/>
  <c r="G175" i="18"/>
  <c r="N175" i="18"/>
  <c r="H165" i="18"/>
  <c r="L165" i="18"/>
  <c r="P165" i="18"/>
  <c r="G165" i="18"/>
  <c r="M165" i="18"/>
  <c r="J165" i="18"/>
  <c r="Q165" i="18"/>
  <c r="K165" i="18"/>
  <c r="N165" i="18"/>
  <c r="O165" i="18"/>
  <c r="F165" i="18"/>
  <c r="I165" i="18"/>
  <c r="H161" i="18"/>
  <c r="L161" i="18"/>
  <c r="P161" i="18"/>
  <c r="G161" i="18"/>
  <c r="M161" i="18"/>
  <c r="I161" i="18"/>
  <c r="O161" i="18"/>
  <c r="J161" i="18"/>
  <c r="Q161" i="18"/>
  <c r="F161" i="18"/>
  <c r="K161" i="18"/>
  <c r="N161" i="18"/>
  <c r="H156" i="18"/>
  <c r="L156" i="18"/>
  <c r="P156" i="18"/>
  <c r="I156" i="18"/>
  <c r="N156" i="18"/>
  <c r="K156" i="18"/>
  <c r="F156" i="18"/>
  <c r="M156" i="18"/>
  <c r="G156" i="18"/>
  <c r="J156" i="18"/>
  <c r="O156" i="18"/>
  <c r="Q156" i="18"/>
  <c r="H201" i="18"/>
  <c r="L201" i="18"/>
  <c r="P201" i="18"/>
  <c r="I201" i="18"/>
  <c r="N201" i="18"/>
  <c r="J201" i="18"/>
  <c r="Q201" i="18"/>
  <c r="K201" i="18"/>
  <c r="F201" i="18"/>
  <c r="M201" i="18"/>
  <c r="O201" i="18"/>
  <c r="G201" i="18"/>
  <c r="H194" i="18"/>
  <c r="L194" i="18"/>
  <c r="P194" i="18"/>
  <c r="G194" i="18"/>
  <c r="M194" i="18"/>
  <c r="I194" i="18"/>
  <c r="O194" i="18"/>
  <c r="J194" i="18"/>
  <c r="Q194" i="18"/>
  <c r="K194" i="18"/>
  <c r="F194" i="18"/>
  <c r="N194" i="18"/>
  <c r="H190" i="18"/>
  <c r="L190" i="18"/>
  <c r="P190" i="18"/>
  <c r="G190" i="18"/>
  <c r="M190" i="18"/>
  <c r="F190" i="18"/>
  <c r="N190" i="18"/>
  <c r="I190" i="18"/>
  <c r="O190" i="18"/>
  <c r="J190" i="18"/>
  <c r="Q190" i="18"/>
  <c r="K190" i="18"/>
  <c r="H209" i="18"/>
  <c r="L209" i="18"/>
  <c r="P209" i="18"/>
  <c r="F209" i="18"/>
  <c r="K209" i="18"/>
  <c r="Q209" i="18"/>
  <c r="G209" i="18"/>
  <c r="N209" i="18"/>
  <c r="I209" i="18"/>
  <c r="O209" i="18"/>
  <c r="J209" i="18"/>
  <c r="M209" i="18"/>
  <c r="H216" i="18"/>
  <c r="L216" i="18"/>
  <c r="P216" i="18"/>
  <c r="F216" i="18"/>
  <c r="G216" i="18"/>
  <c r="M216" i="18"/>
  <c r="J216" i="18"/>
  <c r="Q216" i="18"/>
  <c r="K216" i="18"/>
  <c r="N216" i="18"/>
  <c r="I216" i="18"/>
  <c r="O216" i="18"/>
  <c r="J118" i="18"/>
  <c r="N118" i="18"/>
  <c r="F118" i="18"/>
  <c r="H118" i="18"/>
  <c r="M118" i="18"/>
  <c r="G118" i="18"/>
  <c r="O118" i="18"/>
  <c r="I118" i="18"/>
  <c r="P118" i="18"/>
  <c r="K118" i="18"/>
  <c r="Q118" i="18"/>
  <c r="L118" i="18"/>
  <c r="F168" i="14"/>
  <c r="I168" i="14"/>
  <c r="H168" i="14"/>
  <c r="G168" i="14"/>
  <c r="F164" i="14"/>
  <c r="G164" i="14"/>
  <c r="I164" i="14"/>
  <c r="H164" i="14"/>
  <c r="E25" i="19"/>
  <c r="P121" i="18"/>
  <c r="E24" i="19"/>
  <c r="G165" i="17"/>
  <c r="K165" i="17"/>
  <c r="O165" i="17"/>
  <c r="F165" i="17"/>
  <c r="L165" i="17"/>
  <c r="Q165" i="17"/>
  <c r="H165" i="17"/>
  <c r="M165" i="17"/>
  <c r="I165" i="17"/>
  <c r="N165" i="17"/>
  <c r="G138" i="17"/>
  <c r="K138" i="17"/>
  <c r="O138" i="17"/>
  <c r="H138" i="17"/>
  <c r="M138" i="17"/>
  <c r="I138" i="17"/>
  <c r="N138" i="17"/>
  <c r="J138" i="17"/>
  <c r="P138" i="17"/>
  <c r="H169" i="18"/>
  <c r="L169" i="18"/>
  <c r="P169" i="18"/>
  <c r="I169" i="18"/>
  <c r="N169" i="18"/>
  <c r="J169" i="18"/>
  <c r="Q169" i="18"/>
  <c r="K169" i="18"/>
  <c r="G169" i="18"/>
  <c r="M169" i="18"/>
  <c r="O169" i="18"/>
  <c r="H197" i="18"/>
  <c r="L197" i="18"/>
  <c r="P197" i="18"/>
  <c r="I197" i="18"/>
  <c r="N197" i="18"/>
  <c r="G197" i="18"/>
  <c r="O197" i="18"/>
  <c r="J197" i="18"/>
  <c r="Q197" i="18"/>
  <c r="K197" i="18"/>
  <c r="M197" i="18"/>
  <c r="H59" i="17"/>
  <c r="L59" i="17"/>
  <c r="P59" i="17"/>
  <c r="I59" i="17"/>
  <c r="M59" i="17"/>
  <c r="Q59" i="17"/>
  <c r="G59" i="17"/>
  <c r="O59" i="17"/>
  <c r="J59" i="17"/>
  <c r="N59" i="17"/>
  <c r="F59" i="17"/>
  <c r="K59" i="17"/>
  <c r="F221" i="17"/>
  <c r="J221" i="17"/>
  <c r="N221" i="17"/>
  <c r="H221" i="17"/>
  <c r="M221" i="17"/>
  <c r="K221" i="17"/>
  <c r="Q221" i="17"/>
  <c r="L221" i="17"/>
  <c r="P221" i="17"/>
  <c r="G221" i="17"/>
  <c r="O221" i="17"/>
  <c r="I221" i="17"/>
  <c r="F218" i="17"/>
  <c r="J218" i="17"/>
  <c r="N218" i="17"/>
  <c r="G218" i="17"/>
  <c r="L218" i="17"/>
  <c r="Q218" i="17"/>
  <c r="K218" i="17"/>
  <c r="M218" i="17"/>
  <c r="I218" i="17"/>
  <c r="P218" i="17"/>
  <c r="O218" i="17"/>
  <c r="H218" i="17"/>
  <c r="H214" i="17"/>
  <c r="L214" i="17"/>
  <c r="P214" i="17"/>
  <c r="J214" i="17"/>
  <c r="O214" i="17"/>
  <c r="F214" i="17"/>
  <c r="K214" i="17"/>
  <c r="Q214" i="17"/>
  <c r="I214" i="17"/>
  <c r="M214" i="17"/>
  <c r="N214" i="17"/>
  <c r="G214" i="17"/>
  <c r="H199" i="17"/>
  <c r="L199" i="17"/>
  <c r="G199" i="17"/>
  <c r="M199" i="17"/>
  <c r="Q199" i="17"/>
  <c r="I199" i="17"/>
  <c r="N199" i="17"/>
  <c r="K199" i="17"/>
  <c r="J199" i="17"/>
  <c r="O199" i="17"/>
  <c r="F199" i="17"/>
  <c r="P199" i="17"/>
  <c r="H197" i="17"/>
  <c r="L197" i="17"/>
  <c r="P197" i="17"/>
  <c r="J197" i="17"/>
  <c r="O197" i="17"/>
  <c r="F197" i="17"/>
  <c r="K197" i="17"/>
  <c r="Q197" i="17"/>
  <c r="N197" i="17"/>
  <c r="G197" i="17"/>
  <c r="I197" i="17"/>
  <c r="M197" i="17"/>
  <c r="F64" i="17"/>
  <c r="J64" i="17"/>
  <c r="N64" i="17"/>
  <c r="H64" i="17"/>
  <c r="M64" i="17"/>
  <c r="I64" i="17"/>
  <c r="O64" i="17"/>
  <c r="G64" i="17"/>
  <c r="Q64" i="17"/>
  <c r="K64" i="17"/>
  <c r="P64" i="17"/>
  <c r="L64" i="17"/>
  <c r="G73" i="17"/>
  <c r="K73" i="17"/>
  <c r="O73" i="17"/>
  <c r="J73" i="17"/>
  <c r="P73" i="17"/>
  <c r="L73" i="17"/>
  <c r="Q73" i="17"/>
  <c r="I73" i="17"/>
  <c r="M73" i="17"/>
  <c r="H73" i="17"/>
  <c r="N73" i="17"/>
  <c r="F73" i="17"/>
  <c r="F77" i="17"/>
  <c r="J77" i="17"/>
  <c r="N77" i="17"/>
  <c r="K77" i="17"/>
  <c r="P77" i="17"/>
  <c r="G77" i="17"/>
  <c r="L77" i="17"/>
  <c r="Q77" i="17"/>
  <c r="I77" i="17"/>
  <c r="M77" i="17"/>
  <c r="H77" i="17"/>
  <c r="O77" i="17"/>
  <c r="F82" i="17"/>
  <c r="J82" i="17"/>
  <c r="N82" i="17"/>
  <c r="I82" i="17"/>
  <c r="O82" i="17"/>
  <c r="K82" i="17"/>
  <c r="P82" i="17"/>
  <c r="H82" i="17"/>
  <c r="L82" i="17"/>
  <c r="Q82" i="17"/>
  <c r="G82" i="17"/>
  <c r="M82" i="17"/>
  <c r="I121" i="18"/>
  <c r="M121" i="18"/>
  <c r="Q121" i="18"/>
  <c r="H121" i="18"/>
  <c r="N121" i="18"/>
  <c r="K121" i="18"/>
  <c r="F121" i="18"/>
  <c r="L121" i="18"/>
  <c r="G121" i="18"/>
  <c r="O121" i="18"/>
  <c r="H183" i="18"/>
  <c r="L183" i="18"/>
  <c r="P183" i="18"/>
  <c r="F183" i="18"/>
  <c r="K183" i="18"/>
  <c r="Q183" i="18"/>
  <c r="M183" i="18"/>
  <c r="G183" i="18"/>
  <c r="N183" i="18"/>
  <c r="O183" i="18"/>
  <c r="I183" i="18"/>
  <c r="H177" i="18"/>
  <c r="L177" i="18"/>
  <c r="P177" i="18"/>
  <c r="I177" i="18"/>
  <c r="N177" i="18"/>
  <c r="F177" i="18"/>
  <c r="M177" i="18"/>
  <c r="G177" i="18"/>
  <c r="O177" i="18"/>
  <c r="Q177" i="18"/>
  <c r="J177" i="18"/>
  <c r="H163" i="18"/>
  <c r="L163" i="18"/>
  <c r="P163" i="18"/>
  <c r="J163" i="18"/>
  <c r="O163" i="18"/>
  <c r="F163" i="18"/>
  <c r="M163" i="18"/>
  <c r="G163" i="18"/>
  <c r="N163" i="18"/>
  <c r="I163" i="18"/>
  <c r="K163" i="18"/>
  <c r="Q163" i="18"/>
  <c r="H159" i="18"/>
  <c r="L159" i="18"/>
  <c r="P159" i="18"/>
  <c r="J159" i="18"/>
  <c r="O159" i="18"/>
  <c r="K159" i="18"/>
  <c r="F159" i="18"/>
  <c r="M159" i="18"/>
  <c r="N159" i="18"/>
  <c r="Q159" i="18"/>
  <c r="G159" i="18"/>
  <c r="H203" i="18"/>
  <c r="L203" i="18"/>
  <c r="P203" i="18"/>
  <c r="F203" i="18"/>
  <c r="K203" i="18"/>
  <c r="Q203" i="18"/>
  <c r="G203" i="18"/>
  <c r="N203" i="18"/>
  <c r="I203" i="18"/>
  <c r="O203" i="18"/>
  <c r="J203" i="18"/>
  <c r="H199" i="18"/>
  <c r="L199" i="18"/>
  <c r="P199" i="18"/>
  <c r="F199" i="18"/>
  <c r="K199" i="18"/>
  <c r="Q199" i="18"/>
  <c r="M199" i="18"/>
  <c r="G199" i="18"/>
  <c r="N199" i="18"/>
  <c r="I199" i="18"/>
  <c r="O199" i="18"/>
  <c r="J199" i="18"/>
  <c r="H192" i="18"/>
  <c r="L192" i="18"/>
  <c r="P192" i="18"/>
  <c r="J192" i="18"/>
  <c r="O192" i="18"/>
  <c r="K192" i="18"/>
  <c r="F192" i="18"/>
  <c r="M192" i="18"/>
  <c r="G192" i="18"/>
  <c r="N192" i="18"/>
  <c r="Q192" i="18"/>
  <c r="I213" i="18"/>
  <c r="M213" i="18"/>
  <c r="Q213" i="18"/>
  <c r="K213" i="18"/>
  <c r="P213" i="18"/>
  <c r="H213" i="18"/>
  <c r="O213" i="18"/>
  <c r="J213" i="18"/>
  <c r="F213" i="18"/>
  <c r="L213" i="18"/>
  <c r="G213" i="18"/>
  <c r="N213" i="18"/>
  <c r="H214" i="18"/>
  <c r="L214" i="18"/>
  <c r="P214" i="18"/>
  <c r="I214" i="18"/>
  <c r="N214" i="18"/>
  <c r="J214" i="18"/>
  <c r="O214" i="18"/>
  <c r="M214" i="18"/>
  <c r="F214" i="18"/>
  <c r="Q214" i="18"/>
  <c r="G214" i="18"/>
  <c r="G118" i="17"/>
  <c r="K118" i="17"/>
  <c r="O118" i="17"/>
  <c r="H118" i="17"/>
  <c r="M118" i="17"/>
  <c r="F118" i="17"/>
  <c r="J118" i="17"/>
  <c r="Q118" i="17"/>
  <c r="L118" i="17"/>
  <c r="P118" i="17"/>
  <c r="I118" i="17"/>
  <c r="N118" i="17"/>
  <c r="I172" i="18"/>
  <c r="M172" i="18"/>
  <c r="Q172" i="18"/>
  <c r="G172" i="18"/>
  <c r="L172" i="18"/>
  <c r="F172" i="18"/>
  <c r="H172" i="18"/>
  <c r="O172" i="18"/>
  <c r="J172" i="18"/>
  <c r="P172" i="18"/>
  <c r="K172" i="18"/>
  <c r="N172" i="18"/>
  <c r="E29" i="17"/>
  <c r="F31" i="14"/>
  <c r="I31" i="14"/>
  <c r="G31" i="14"/>
  <c r="H31" i="14"/>
  <c r="E19" i="17"/>
  <c r="F220" i="17"/>
  <c r="J220" i="17"/>
  <c r="N220" i="17"/>
  <c r="I220" i="17"/>
  <c r="O220" i="17"/>
  <c r="H220" i="17"/>
  <c r="P220" i="17"/>
  <c r="K220" i="17"/>
  <c r="Q220" i="17"/>
  <c r="M220" i="17"/>
  <c r="L220" i="17"/>
  <c r="G220" i="17"/>
  <c r="F206" i="17"/>
  <c r="J206" i="17"/>
  <c r="N206" i="17"/>
  <c r="G206" i="17"/>
  <c r="L206" i="17"/>
  <c r="Q206" i="17"/>
  <c r="M206" i="17"/>
  <c r="H206" i="17"/>
  <c r="O206" i="17"/>
  <c r="I206" i="17"/>
  <c r="K206" i="17"/>
  <c r="P206" i="17"/>
  <c r="F203" i="17"/>
  <c r="J203" i="17"/>
  <c r="N203" i="17"/>
  <c r="G203" i="17"/>
  <c r="L203" i="17"/>
  <c r="Q203" i="17"/>
  <c r="K203" i="17"/>
  <c r="M203" i="17"/>
  <c r="I203" i="17"/>
  <c r="O203" i="17"/>
  <c r="H203" i="17"/>
  <c r="P203" i="17"/>
  <c r="H67" i="17"/>
  <c r="L67" i="17"/>
  <c r="P67" i="17"/>
  <c r="I67" i="17"/>
  <c r="M67" i="17"/>
  <c r="Q67" i="17"/>
  <c r="K67" i="17"/>
  <c r="F67" i="17"/>
  <c r="N67" i="17"/>
  <c r="G67" i="17"/>
  <c r="J67" i="17"/>
  <c r="H70" i="17"/>
  <c r="L70" i="17"/>
  <c r="P70" i="17"/>
  <c r="I70" i="17"/>
  <c r="M70" i="17"/>
  <c r="Q70" i="17"/>
  <c r="G70" i="17"/>
  <c r="O70" i="17"/>
  <c r="J70" i="17"/>
  <c r="N70" i="17"/>
  <c r="F70" i="17"/>
  <c r="K70" i="17"/>
  <c r="F76" i="17"/>
  <c r="J76" i="17"/>
  <c r="N76" i="17"/>
  <c r="G76" i="17"/>
  <c r="L76" i="17"/>
  <c r="Q76" i="17"/>
  <c r="H76" i="17"/>
  <c r="M76" i="17"/>
  <c r="K76" i="17"/>
  <c r="O76" i="17"/>
  <c r="I76" i="17"/>
  <c r="P76" i="17"/>
  <c r="F81" i="17"/>
  <c r="J81" i="17"/>
  <c r="N81" i="17"/>
  <c r="K81" i="17"/>
  <c r="P81" i="17"/>
  <c r="G81" i="17"/>
  <c r="L81" i="17"/>
  <c r="Q81" i="17"/>
  <c r="I81" i="17"/>
  <c r="M81" i="17"/>
  <c r="H81" i="17"/>
  <c r="O81" i="17"/>
  <c r="I120" i="18"/>
  <c r="M120" i="18"/>
  <c r="Q120" i="18"/>
  <c r="J120" i="18"/>
  <c r="O120" i="18"/>
  <c r="H120" i="18"/>
  <c r="P120" i="18"/>
  <c r="K120" i="18"/>
  <c r="F120" i="18"/>
  <c r="L120" i="18"/>
  <c r="H186" i="18"/>
  <c r="L186" i="18"/>
  <c r="P186" i="18"/>
  <c r="G186" i="18"/>
  <c r="M186" i="18"/>
  <c r="K186" i="18"/>
  <c r="F186" i="18"/>
  <c r="N186" i="18"/>
  <c r="I186" i="18"/>
  <c r="J186" i="18"/>
  <c r="O186" i="18"/>
  <c r="H181" i="18"/>
  <c r="L181" i="18"/>
  <c r="P181" i="18"/>
  <c r="I181" i="18"/>
  <c r="N181" i="18"/>
  <c r="G181" i="18"/>
  <c r="O181" i="18"/>
  <c r="J181" i="18"/>
  <c r="Q181" i="18"/>
  <c r="K181" i="18"/>
  <c r="M181" i="18"/>
  <c r="H176" i="18"/>
  <c r="L176" i="18"/>
  <c r="P176" i="18"/>
  <c r="J176" i="18"/>
  <c r="O176" i="18"/>
  <c r="K176" i="18"/>
  <c r="F176" i="18"/>
  <c r="M176" i="18"/>
  <c r="G176" i="18"/>
  <c r="N176" i="18"/>
  <c r="Q176" i="18"/>
  <c r="H167" i="18"/>
  <c r="L167" i="18"/>
  <c r="P167" i="18"/>
  <c r="J167" i="18"/>
  <c r="O167" i="18"/>
  <c r="G167" i="18"/>
  <c r="N167" i="18"/>
  <c r="I167" i="18"/>
  <c r="Q167" i="18"/>
  <c r="F167" i="18"/>
  <c r="K167" i="18"/>
  <c r="M167" i="18"/>
  <c r="H162" i="18"/>
  <c r="L162" i="18"/>
  <c r="P162" i="18"/>
  <c r="F162" i="18"/>
  <c r="K162" i="18"/>
  <c r="Q162" i="18"/>
  <c r="J162" i="18"/>
  <c r="M162" i="18"/>
  <c r="G162" i="18"/>
  <c r="I162" i="18"/>
  <c r="N162" i="18"/>
  <c r="H158" i="18"/>
  <c r="L158" i="18"/>
  <c r="P158" i="18"/>
  <c r="F158" i="18"/>
  <c r="K158" i="18"/>
  <c r="Q158" i="18"/>
  <c r="I158" i="18"/>
  <c r="O158" i="18"/>
  <c r="J158" i="18"/>
  <c r="M158" i="18"/>
  <c r="N158" i="18"/>
  <c r="H202" i="18"/>
  <c r="L202" i="18"/>
  <c r="P202" i="18"/>
  <c r="G202" i="18"/>
  <c r="M202" i="18"/>
  <c r="K202" i="18"/>
  <c r="F202" i="18"/>
  <c r="N202" i="18"/>
  <c r="I202" i="18"/>
  <c r="O202" i="18"/>
  <c r="J202" i="18"/>
  <c r="Q202" i="18"/>
  <c r="H196" i="18"/>
  <c r="L196" i="18"/>
  <c r="P196" i="18"/>
  <c r="J196" i="18"/>
  <c r="O196" i="18"/>
  <c r="F196" i="18"/>
  <c r="M196" i="18"/>
  <c r="G196" i="18"/>
  <c r="N196" i="18"/>
  <c r="I196" i="18"/>
  <c r="Q196" i="18"/>
  <c r="K196" i="18"/>
  <c r="H191" i="18"/>
  <c r="L191" i="18"/>
  <c r="P191" i="18"/>
  <c r="F191" i="18"/>
  <c r="K191" i="18"/>
  <c r="Q191" i="18"/>
  <c r="I191" i="18"/>
  <c r="O191" i="18"/>
  <c r="J191" i="18"/>
  <c r="M191" i="18"/>
  <c r="G191" i="18"/>
  <c r="N191" i="18"/>
  <c r="H210" i="18"/>
  <c r="L210" i="18"/>
  <c r="P210" i="18"/>
  <c r="J210" i="18"/>
  <c r="O210" i="18"/>
  <c r="I210" i="18"/>
  <c r="Q210" i="18"/>
  <c r="K210" i="18"/>
  <c r="F210" i="18"/>
  <c r="M210" i="18"/>
  <c r="G210" i="18"/>
  <c r="N210" i="18"/>
  <c r="H217" i="18"/>
  <c r="L217" i="18"/>
  <c r="P217" i="18"/>
  <c r="F217" i="18"/>
  <c r="K217" i="18"/>
  <c r="Q217" i="18"/>
  <c r="M217" i="18"/>
  <c r="G217" i="18"/>
  <c r="N217" i="18"/>
  <c r="I217" i="18"/>
  <c r="O217" i="18"/>
  <c r="I140" i="18"/>
  <c r="M140" i="18"/>
  <c r="Q140" i="18"/>
  <c r="H140" i="18"/>
  <c r="N140" i="18"/>
  <c r="J140" i="18"/>
  <c r="P140" i="18"/>
  <c r="K140" i="18"/>
  <c r="F140" i="18"/>
  <c r="L140" i="18"/>
  <c r="H103" i="18"/>
  <c r="L103" i="18"/>
  <c r="P103" i="18"/>
  <c r="K103" i="18"/>
  <c r="Q103" i="18"/>
  <c r="J103" i="18"/>
  <c r="F103" i="18"/>
  <c r="M103" i="18"/>
  <c r="G103" i="18"/>
  <c r="N103" i="18"/>
  <c r="F126" i="14"/>
  <c r="F23" i="19" s="1"/>
  <c r="H68" i="17"/>
  <c r="L68" i="17"/>
  <c r="P68" i="17"/>
  <c r="I68" i="17"/>
  <c r="M68" i="17"/>
  <c r="Q68" i="17"/>
  <c r="G68" i="17"/>
  <c r="O68" i="17"/>
  <c r="J68" i="17"/>
  <c r="F68" i="17"/>
  <c r="K68" i="17"/>
  <c r="N68" i="17"/>
  <c r="G140" i="17"/>
  <c r="K140" i="17"/>
  <c r="O140" i="17"/>
  <c r="F140" i="17"/>
  <c r="L140" i="17"/>
  <c r="Q140" i="17"/>
  <c r="H140" i="17"/>
  <c r="M140" i="17"/>
  <c r="I140" i="17"/>
  <c r="N140" i="17"/>
  <c r="Q138" i="17"/>
  <c r="N120" i="18"/>
  <c r="I192" i="18"/>
  <c r="E26" i="19"/>
  <c r="G97" i="18"/>
  <c r="K97" i="18"/>
  <c r="O97" i="18"/>
  <c r="H97" i="18"/>
  <c r="M97" i="18"/>
  <c r="F97" i="18"/>
  <c r="N97" i="18"/>
  <c r="I97" i="18"/>
  <c r="P97" i="18"/>
  <c r="J97" i="18"/>
  <c r="Q97" i="18"/>
  <c r="G105" i="18"/>
  <c r="K105" i="18"/>
  <c r="O105" i="18"/>
  <c r="I105" i="18"/>
  <c r="N105" i="18"/>
  <c r="J105" i="18"/>
  <c r="Q105" i="18"/>
  <c r="L105" i="18"/>
  <c r="F105" i="18"/>
  <c r="M105" i="18"/>
  <c r="P165" i="17"/>
  <c r="L138" i="17"/>
  <c r="O103" i="18"/>
  <c r="G120" i="18"/>
  <c r="O140" i="18"/>
  <c r="F169" i="18"/>
  <c r="I159" i="18"/>
  <c r="J183" i="18"/>
  <c r="M203" i="18"/>
  <c r="F167" i="14"/>
  <c r="I167" i="14"/>
  <c r="G167" i="14"/>
  <c r="H167" i="14"/>
  <c r="F163" i="14"/>
  <c r="I163" i="14"/>
  <c r="H163" i="14"/>
  <c r="G163" i="14"/>
  <c r="F178" i="14"/>
  <c r="H178" i="14"/>
  <c r="I178" i="14"/>
  <c r="G178" i="14"/>
  <c r="G96" i="18"/>
  <c r="K96" i="18"/>
  <c r="O96" i="18"/>
  <c r="I96" i="18"/>
  <c r="N96" i="18"/>
  <c r="G104" i="18"/>
  <c r="K104" i="18"/>
  <c r="O104" i="18"/>
  <c r="J104" i="18"/>
  <c r="P104" i="18"/>
  <c r="G80" i="17"/>
  <c r="K80" i="17"/>
  <c r="O80" i="17"/>
  <c r="L80" i="17"/>
  <c r="Q80" i="17"/>
  <c r="H80" i="17"/>
  <c r="M80" i="17"/>
  <c r="F80" i="17"/>
  <c r="P80" i="17"/>
  <c r="I80" i="17"/>
  <c r="J80" i="17"/>
  <c r="N80" i="17"/>
  <c r="F173" i="17"/>
  <c r="J173" i="17"/>
  <c r="N173" i="17"/>
  <c r="G169" i="17"/>
  <c r="K169" i="17"/>
  <c r="O169" i="17"/>
  <c r="Q166" i="17"/>
  <c r="L166" i="17"/>
  <c r="Q164" i="17"/>
  <c r="K164" i="17"/>
  <c r="F162" i="17"/>
  <c r="J162" i="17"/>
  <c r="N162" i="17"/>
  <c r="H160" i="17"/>
  <c r="L160" i="17"/>
  <c r="P160" i="17"/>
  <c r="F178" i="17"/>
  <c r="J178" i="17"/>
  <c r="N178" i="17"/>
  <c r="I178" i="17"/>
  <c r="O178" i="17"/>
  <c r="K178" i="17"/>
  <c r="Q178" i="17"/>
  <c r="L178" i="17"/>
  <c r="H178" i="17"/>
  <c r="M178" i="17"/>
  <c r="G178" i="17"/>
  <c r="P178" i="17"/>
  <c r="F183" i="17"/>
  <c r="J183" i="17"/>
  <c r="N183" i="17"/>
  <c r="H183" i="17"/>
  <c r="M183" i="17"/>
  <c r="G183" i="17"/>
  <c r="O183" i="17"/>
  <c r="I183" i="17"/>
  <c r="P183" i="17"/>
  <c r="K183" i="17"/>
  <c r="L183" i="17"/>
  <c r="Q183" i="17"/>
  <c r="F187" i="17"/>
  <c r="J187" i="17"/>
  <c r="N187" i="17"/>
  <c r="H187" i="17"/>
  <c r="M187" i="17"/>
  <c r="I187" i="17"/>
  <c r="P187" i="17"/>
  <c r="K187" i="17"/>
  <c r="Q187" i="17"/>
  <c r="O187" i="17"/>
  <c r="L187" i="17"/>
  <c r="F193" i="17"/>
  <c r="P193" i="17"/>
  <c r="O95" i="18"/>
  <c r="M111" i="18"/>
  <c r="H154" i="18"/>
  <c r="L154" i="18"/>
  <c r="P154" i="18"/>
  <c r="I154" i="18"/>
  <c r="N154" i="18"/>
  <c r="H179" i="18"/>
  <c r="L179" i="18"/>
  <c r="P179" i="18"/>
  <c r="F179" i="18"/>
  <c r="K179" i="18"/>
  <c r="Q179" i="18"/>
  <c r="J179" i="18"/>
  <c r="M179" i="18"/>
  <c r="H195" i="18"/>
  <c r="L195" i="18"/>
  <c r="P195" i="18"/>
  <c r="F195" i="18"/>
  <c r="K195" i="18"/>
  <c r="Q195" i="18"/>
  <c r="J195" i="18"/>
  <c r="M195" i="18"/>
  <c r="G195" i="18"/>
  <c r="N195" i="18"/>
  <c r="N99" i="18"/>
  <c r="M98" i="18"/>
  <c r="P96" i="18"/>
  <c r="H96" i="18"/>
  <c r="H100" i="18" s="1"/>
  <c r="P106" i="18"/>
  <c r="I106" i="18"/>
  <c r="L104" i="18"/>
  <c r="O115" i="18"/>
  <c r="L114" i="18"/>
  <c r="F114" i="18"/>
  <c r="L112" i="18"/>
  <c r="N179" i="18"/>
  <c r="G187" i="17"/>
  <c r="F170" i="14"/>
  <c r="H170" i="14"/>
  <c r="I170" i="14"/>
  <c r="G170" i="14"/>
  <c r="F166" i="14"/>
  <c r="H166" i="14"/>
  <c r="I166" i="14"/>
  <c r="G166" i="14"/>
  <c r="F162" i="14"/>
  <c r="F177" i="14"/>
  <c r="I177" i="14"/>
  <c r="G177" i="14"/>
  <c r="H177" i="14"/>
  <c r="G99" i="18"/>
  <c r="K99" i="18"/>
  <c r="O99" i="18"/>
  <c r="J99" i="18"/>
  <c r="P99" i="18"/>
  <c r="G107" i="18"/>
  <c r="K107" i="18"/>
  <c r="O107" i="18"/>
  <c r="F107" i="18"/>
  <c r="L107" i="18"/>
  <c r="Q107" i="18"/>
  <c r="I115" i="18"/>
  <c r="M115" i="18"/>
  <c r="Q115" i="18"/>
  <c r="G115" i="18"/>
  <c r="L115" i="18"/>
  <c r="F166" i="17"/>
  <c r="J166" i="17"/>
  <c r="N166" i="17"/>
  <c r="H164" i="17"/>
  <c r="L164" i="17"/>
  <c r="P164" i="17"/>
  <c r="G176" i="17"/>
  <c r="K176" i="17"/>
  <c r="O176" i="17"/>
  <c r="I176" i="17"/>
  <c r="N176" i="17"/>
  <c r="L176" i="17"/>
  <c r="F176" i="17"/>
  <c r="M176" i="17"/>
  <c r="J176" i="17"/>
  <c r="P176" i="17"/>
  <c r="H176" i="17"/>
  <c r="F179" i="17"/>
  <c r="J179" i="17"/>
  <c r="N179" i="17"/>
  <c r="H179" i="17"/>
  <c r="M179" i="17"/>
  <c r="L179" i="17"/>
  <c r="G179" i="17"/>
  <c r="O179" i="17"/>
  <c r="K179" i="17"/>
  <c r="P179" i="17"/>
  <c r="I179" i="17"/>
  <c r="F186" i="17"/>
  <c r="J186" i="17"/>
  <c r="N186" i="17"/>
  <c r="I186" i="17"/>
  <c r="O186" i="17"/>
  <c r="G186" i="17"/>
  <c r="M186" i="17"/>
  <c r="H186" i="17"/>
  <c r="P186" i="17"/>
  <c r="L186" i="17"/>
  <c r="Q186" i="17"/>
  <c r="K186" i="17"/>
  <c r="F190" i="17"/>
  <c r="J190" i="17"/>
  <c r="N190" i="17"/>
  <c r="I190" i="17"/>
  <c r="O190" i="17"/>
  <c r="H190" i="17"/>
  <c r="P190" i="17"/>
  <c r="K190" i="17"/>
  <c r="Q190" i="17"/>
  <c r="G190" i="17"/>
  <c r="L190" i="17"/>
  <c r="M190" i="17"/>
  <c r="G193" i="17"/>
  <c r="K193" i="17"/>
  <c r="O193" i="17"/>
  <c r="I193" i="17"/>
  <c r="N193" i="17"/>
  <c r="F212" i="17"/>
  <c r="H212" i="17"/>
  <c r="L212" i="17"/>
  <c r="P212" i="17"/>
  <c r="K212" i="17"/>
  <c r="Q212" i="17"/>
  <c r="G212" i="17"/>
  <c r="M212" i="17"/>
  <c r="J212" i="17"/>
  <c r="I212" i="17"/>
  <c r="N212" i="17"/>
  <c r="O212" i="17"/>
  <c r="I95" i="18"/>
  <c r="M95" i="18"/>
  <c r="Q95" i="18"/>
  <c r="G95" i="18"/>
  <c r="L95" i="18"/>
  <c r="F95" i="18"/>
  <c r="N111" i="18"/>
  <c r="L111" i="18"/>
  <c r="O111" i="18"/>
  <c r="H157" i="18"/>
  <c r="L157" i="18"/>
  <c r="P157" i="18"/>
  <c r="G157" i="18"/>
  <c r="M157" i="18"/>
  <c r="F157" i="18"/>
  <c r="N157" i="18"/>
  <c r="I157" i="18"/>
  <c r="O157" i="18"/>
  <c r="H182" i="18"/>
  <c r="L182" i="18"/>
  <c r="P182" i="18"/>
  <c r="G182" i="18"/>
  <c r="M182" i="18"/>
  <c r="J182" i="18"/>
  <c r="Q182" i="18"/>
  <c r="K182" i="18"/>
  <c r="I206" i="18"/>
  <c r="M206" i="18"/>
  <c r="Q206" i="18"/>
  <c r="Q30" i="18" s="1"/>
  <c r="J206" i="18"/>
  <c r="O206" i="18"/>
  <c r="L206" i="18"/>
  <c r="G206" i="18"/>
  <c r="N206" i="18"/>
  <c r="H206" i="18"/>
  <c r="P206" i="18"/>
  <c r="M99" i="18"/>
  <c r="F99" i="18"/>
  <c r="M96" i="18"/>
  <c r="F96" i="18"/>
  <c r="P107" i="18"/>
  <c r="I107" i="18"/>
  <c r="N106" i="18"/>
  <c r="Q104" i="18"/>
  <c r="I104" i="18"/>
  <c r="N115" i="18"/>
  <c r="F115" i="18"/>
  <c r="K157" i="18"/>
  <c r="O182" i="18"/>
  <c r="I179" i="18"/>
  <c r="O195" i="18"/>
  <c r="Q179" i="17"/>
  <c r="F173" i="14"/>
  <c r="G173" i="14"/>
  <c r="I173" i="14"/>
  <c r="F169" i="14"/>
  <c r="G169" i="14"/>
  <c r="H169" i="14"/>
  <c r="I169" i="14"/>
  <c r="F165" i="14"/>
  <c r="G165" i="14"/>
  <c r="H165" i="14"/>
  <c r="I165" i="14"/>
  <c r="F161" i="14"/>
  <c r="F181" i="14"/>
  <c r="H181" i="14"/>
  <c r="G181" i="14"/>
  <c r="I181" i="14"/>
  <c r="G176" i="14"/>
  <c r="F176" i="14"/>
  <c r="I176" i="14"/>
  <c r="H176" i="14"/>
  <c r="G98" i="18"/>
  <c r="K98" i="18"/>
  <c r="O98" i="18"/>
  <c r="F98" i="18"/>
  <c r="L98" i="18"/>
  <c r="Q98" i="18"/>
  <c r="G106" i="18"/>
  <c r="K106" i="18"/>
  <c r="O106" i="18"/>
  <c r="H106" i="18"/>
  <c r="M106" i="18"/>
  <c r="I112" i="18"/>
  <c r="M112" i="18"/>
  <c r="Q112" i="18"/>
  <c r="K112" i="18"/>
  <c r="P112" i="18"/>
  <c r="M173" i="17"/>
  <c r="H173" i="17"/>
  <c r="G172" i="17"/>
  <c r="K172" i="17"/>
  <c r="O172" i="17"/>
  <c r="F170" i="17"/>
  <c r="J170" i="17"/>
  <c r="N170" i="17"/>
  <c r="M169" i="17"/>
  <c r="H169" i="17"/>
  <c r="H168" i="17"/>
  <c r="L168" i="17"/>
  <c r="P168" i="17"/>
  <c r="O166" i="17"/>
  <c r="I166" i="17"/>
  <c r="N164" i="17"/>
  <c r="I164" i="17"/>
  <c r="M162" i="17"/>
  <c r="H162" i="17"/>
  <c r="G161" i="17"/>
  <c r="K161" i="17"/>
  <c r="O161" i="17"/>
  <c r="M160" i="17"/>
  <c r="G160" i="17"/>
  <c r="I139" i="17"/>
  <c r="M139" i="17"/>
  <c r="Q139" i="17"/>
  <c r="F177" i="17"/>
  <c r="J177" i="17"/>
  <c r="N177" i="17"/>
  <c r="K177" i="17"/>
  <c r="P177" i="17"/>
  <c r="H177" i="17"/>
  <c r="O177" i="17"/>
  <c r="I177" i="17"/>
  <c r="Q177" i="17"/>
  <c r="G177" i="17"/>
  <c r="L177" i="17"/>
  <c r="F181" i="17"/>
  <c r="J181" i="17"/>
  <c r="N181" i="17"/>
  <c r="K181" i="17"/>
  <c r="P181" i="17"/>
  <c r="I181" i="17"/>
  <c r="Q181" i="17"/>
  <c r="L181" i="17"/>
  <c r="O181" i="17"/>
  <c r="G181" i="17"/>
  <c r="H181" i="17"/>
  <c r="M181" i="17"/>
  <c r="F185" i="17"/>
  <c r="J185" i="17"/>
  <c r="N185" i="17"/>
  <c r="K185" i="17"/>
  <c r="P185" i="17"/>
  <c r="L185" i="17"/>
  <c r="G185" i="17"/>
  <c r="M185" i="17"/>
  <c r="I185" i="17"/>
  <c r="O185" i="17"/>
  <c r="H185" i="17"/>
  <c r="Q185" i="17"/>
  <c r="F189" i="17"/>
  <c r="J189" i="17"/>
  <c r="N189" i="17"/>
  <c r="K189" i="17"/>
  <c r="P189" i="17"/>
  <c r="G189" i="17"/>
  <c r="M189" i="17"/>
  <c r="H189" i="17"/>
  <c r="O189" i="17"/>
  <c r="I189" i="17"/>
  <c r="Q189" i="17"/>
  <c r="G194" i="17"/>
  <c r="K194" i="17"/>
  <c r="O194" i="17"/>
  <c r="H194" i="17"/>
  <c r="M194" i="17"/>
  <c r="L193" i="17"/>
  <c r="F201" i="17"/>
  <c r="J201" i="17"/>
  <c r="N201" i="17"/>
  <c r="I201" i="17"/>
  <c r="O201" i="17"/>
  <c r="G201" i="17"/>
  <c r="M201" i="17"/>
  <c r="H201" i="17"/>
  <c r="P201" i="17"/>
  <c r="K201" i="17"/>
  <c r="Q201" i="17"/>
  <c r="F211" i="17"/>
  <c r="J211" i="17"/>
  <c r="N211" i="17"/>
  <c r="I211" i="17"/>
  <c r="O211" i="17"/>
  <c r="K211" i="17"/>
  <c r="Q211" i="17"/>
  <c r="L211" i="17"/>
  <c r="H211" i="17"/>
  <c r="G211" i="17"/>
  <c r="P211" i="17"/>
  <c r="M211" i="17"/>
  <c r="K95" i="18"/>
  <c r="Q111" i="18"/>
  <c r="I114" i="18"/>
  <c r="M114" i="18"/>
  <c r="Q114" i="18"/>
  <c r="H114" i="18"/>
  <c r="N114" i="18"/>
  <c r="Q154" i="18"/>
  <c r="J154" i="18"/>
  <c r="L99" i="18"/>
  <c r="P98" i="18"/>
  <c r="I98" i="18"/>
  <c r="L96" i="18"/>
  <c r="N107" i="18"/>
  <c r="H107" i="18"/>
  <c r="L106" i="18"/>
  <c r="N104" i="18"/>
  <c r="H104" i="18"/>
  <c r="K115" i="18"/>
  <c r="P114" i="18"/>
  <c r="J114" i="18"/>
  <c r="O112" i="18"/>
  <c r="H112" i="18"/>
  <c r="J157" i="18"/>
  <c r="N182" i="18"/>
  <c r="G179" i="18"/>
  <c r="I195" i="18"/>
  <c r="M177" i="17"/>
  <c r="H195" i="17"/>
  <c r="L195" i="17"/>
  <c r="P195" i="17"/>
  <c r="G195" i="17"/>
  <c r="M195" i="17"/>
  <c r="I195" i="17"/>
  <c r="N195" i="17"/>
  <c r="F195" i="17"/>
  <c r="Q195" i="17"/>
  <c r="O195" i="17"/>
  <c r="J195" i="17"/>
  <c r="I209" i="17"/>
  <c r="M209" i="17"/>
  <c r="Q209" i="17"/>
  <c r="J209" i="17"/>
  <c r="O209" i="17"/>
  <c r="K209" i="17"/>
  <c r="P209" i="17"/>
  <c r="H209" i="17"/>
  <c r="N209" i="17"/>
  <c r="F209" i="17"/>
  <c r="L209" i="17"/>
  <c r="H155" i="18"/>
  <c r="L155" i="18"/>
  <c r="P155" i="18"/>
  <c r="J155" i="18"/>
  <c r="O155" i="18"/>
  <c r="K155" i="18"/>
  <c r="K195" i="17"/>
  <c r="G209" i="17"/>
  <c r="F180" i="17"/>
  <c r="J180" i="17"/>
  <c r="N180" i="17"/>
  <c r="G180" i="17"/>
  <c r="L180" i="17"/>
  <c r="Q180" i="17"/>
  <c r="H180" i="17"/>
  <c r="O180" i="17"/>
  <c r="I180" i="17"/>
  <c r="P180" i="17"/>
  <c r="F182" i="17"/>
  <c r="J182" i="17"/>
  <c r="N182" i="17"/>
  <c r="I182" i="17"/>
  <c r="O182" i="17"/>
  <c r="L182" i="17"/>
  <c r="G182" i="17"/>
  <c r="M182" i="17"/>
  <c r="F184" i="17"/>
  <c r="J184" i="17"/>
  <c r="N184" i="17"/>
  <c r="G184" i="17"/>
  <c r="L184" i="17"/>
  <c r="Q184" i="17"/>
  <c r="I184" i="17"/>
  <c r="P184" i="17"/>
  <c r="K184" i="17"/>
  <c r="F188" i="17"/>
  <c r="J188" i="17"/>
  <c r="N188" i="17"/>
  <c r="G188" i="17"/>
  <c r="L188" i="17"/>
  <c r="Q188" i="17"/>
  <c r="K188" i="17"/>
  <c r="M188" i="17"/>
  <c r="H196" i="17"/>
  <c r="L196" i="17"/>
  <c r="P196" i="17"/>
  <c r="F196" i="17"/>
  <c r="K196" i="17"/>
  <c r="Q196" i="17"/>
  <c r="G196" i="17"/>
  <c r="M196" i="17"/>
  <c r="O196" i="17"/>
  <c r="I196" i="17"/>
  <c r="F210" i="17"/>
  <c r="J210" i="17"/>
  <c r="N210" i="17"/>
  <c r="K210" i="17"/>
  <c r="P210" i="17"/>
  <c r="H210" i="17"/>
  <c r="O210" i="17"/>
  <c r="I210" i="17"/>
  <c r="Q210" i="17"/>
  <c r="G210" i="17"/>
  <c r="M210" i="17"/>
  <c r="H166" i="18"/>
  <c r="L166" i="18"/>
  <c r="P166" i="18"/>
  <c r="H198" i="18"/>
  <c r="L198" i="18"/>
  <c r="P198" i="18"/>
  <c r="H207" i="18"/>
  <c r="L207" i="18"/>
  <c r="P207" i="18"/>
  <c r="Q113" i="18"/>
  <c r="M113" i="18"/>
  <c r="Q166" i="18"/>
  <c r="K166" i="18"/>
  <c r="F166" i="18"/>
  <c r="M198" i="18"/>
  <c r="G198" i="18"/>
  <c r="N207" i="18"/>
  <c r="I207" i="18"/>
  <c r="H188" i="17"/>
  <c r="M184" i="17"/>
  <c r="H182" i="17"/>
  <c r="P188" i="17"/>
  <c r="H184" i="17"/>
  <c r="Q182" i="17"/>
  <c r="M180" i="17"/>
  <c r="N196" i="17"/>
  <c r="G116" i="18" l="1"/>
  <c r="M30" i="18"/>
  <c r="I108" i="18"/>
  <c r="I31" i="18"/>
  <c r="E16" i="19"/>
  <c r="E56" i="17"/>
  <c r="E22" i="14"/>
  <c r="R140" i="18"/>
  <c r="S140" i="18" s="1"/>
  <c r="R217" i="18"/>
  <c r="S217" i="18" s="1"/>
  <c r="R186" i="18"/>
  <c r="S186" i="18" s="1"/>
  <c r="R214" i="18"/>
  <c r="S214" i="18" s="1"/>
  <c r="P31" i="18"/>
  <c r="R165" i="18"/>
  <c r="S165" i="18" s="1"/>
  <c r="M20" i="17"/>
  <c r="L19" i="17"/>
  <c r="I31" i="17"/>
  <c r="R219" i="17"/>
  <c r="S219" i="17" s="1"/>
  <c r="P20" i="17"/>
  <c r="E60" i="15"/>
  <c r="H19" i="17"/>
  <c r="K19" i="17"/>
  <c r="H31" i="17"/>
  <c r="H20" i="17"/>
  <c r="G100" i="18"/>
  <c r="E107" i="15"/>
  <c r="E138" i="18" s="1"/>
  <c r="E108" i="15"/>
  <c r="E139" i="18" s="1"/>
  <c r="G20" i="17"/>
  <c r="R170" i="17"/>
  <c r="S170" i="17" s="1"/>
  <c r="R171" i="17"/>
  <c r="S171" i="17" s="1"/>
  <c r="J20" i="17"/>
  <c r="O20" i="17"/>
  <c r="R200" i="18"/>
  <c r="S200" i="18" s="1"/>
  <c r="E123" i="18"/>
  <c r="E25" i="18" s="1"/>
  <c r="E106" i="15"/>
  <c r="E137" i="18" s="1"/>
  <c r="E105" i="15"/>
  <c r="E136" i="18" s="1"/>
  <c r="E104" i="15"/>
  <c r="E135" i="18" s="1"/>
  <c r="E103" i="15"/>
  <c r="E134" i="18" s="1"/>
  <c r="R197" i="18"/>
  <c r="S197" i="18" s="1"/>
  <c r="R183" i="18"/>
  <c r="S183" i="18" s="1"/>
  <c r="R163" i="18"/>
  <c r="S163" i="18" s="1"/>
  <c r="R161" i="18"/>
  <c r="S161" i="18" s="1"/>
  <c r="E110" i="15"/>
  <c r="E141" i="18" s="1"/>
  <c r="L141" i="18" s="1"/>
  <c r="E101" i="15"/>
  <c r="E132" i="18" s="1"/>
  <c r="E102" i="15"/>
  <c r="E133" i="18" s="1"/>
  <c r="M133" i="18" s="1"/>
  <c r="E98" i="15"/>
  <c r="H30" i="17"/>
  <c r="I26" i="19"/>
  <c r="J30" i="17"/>
  <c r="L30" i="17"/>
  <c r="R199" i="17"/>
  <c r="S199" i="17" s="1"/>
  <c r="R198" i="17"/>
  <c r="S198" i="17" s="1"/>
  <c r="R205" i="17"/>
  <c r="S205" i="17" s="1"/>
  <c r="H29" i="17"/>
  <c r="J29" i="17"/>
  <c r="R186" i="17"/>
  <c r="S186" i="17" s="1"/>
  <c r="Q28" i="17"/>
  <c r="R163" i="17"/>
  <c r="S163" i="17" s="1"/>
  <c r="R166" i="17"/>
  <c r="S166" i="17" s="1"/>
  <c r="R167" i="17"/>
  <c r="S167" i="17" s="1"/>
  <c r="R159" i="17"/>
  <c r="S159" i="17" s="1"/>
  <c r="R139" i="17"/>
  <c r="S139" i="17" s="1"/>
  <c r="R191" i="18"/>
  <c r="S191" i="18" s="1"/>
  <c r="M28" i="18"/>
  <c r="R166" i="18"/>
  <c r="S166" i="18" s="1"/>
  <c r="J116" i="18"/>
  <c r="P116" i="18"/>
  <c r="N100" i="18"/>
  <c r="D21" i="19"/>
  <c r="E118" i="15"/>
  <c r="G11" i="3"/>
  <c r="H11" i="3" s="1"/>
  <c r="E84" i="11"/>
  <c r="E45" i="11"/>
  <c r="F84" i="11"/>
  <c r="F45" i="11"/>
  <c r="Q63" i="17"/>
  <c r="Q18" i="17" s="1"/>
  <c r="R119" i="17"/>
  <c r="S119" i="17" s="1"/>
  <c r="R118" i="17"/>
  <c r="S118" i="17" s="1"/>
  <c r="H74" i="3"/>
  <c r="H71" i="3"/>
  <c r="G71" i="3"/>
  <c r="R59" i="17"/>
  <c r="S59" i="17" s="1"/>
  <c r="E71" i="3"/>
  <c r="M63" i="17"/>
  <c r="M18" i="17" s="1"/>
  <c r="H63" i="17"/>
  <c r="H18" i="17" s="1"/>
  <c r="F16" i="19"/>
  <c r="O63" i="17"/>
  <c r="O18" i="17" s="1"/>
  <c r="I63" i="17"/>
  <c r="I18" i="17" s="1"/>
  <c r="K63" i="17"/>
  <c r="K18" i="17" s="1"/>
  <c r="N63" i="17"/>
  <c r="N18" i="17" s="1"/>
  <c r="P63" i="17"/>
  <c r="P18" i="17" s="1"/>
  <c r="J63" i="17"/>
  <c r="J18" i="17" s="1"/>
  <c r="L63" i="17"/>
  <c r="L18" i="17" s="1"/>
  <c r="G63" i="17"/>
  <c r="G18" i="17" s="1"/>
  <c r="F63" i="17"/>
  <c r="E49" i="13"/>
  <c r="F230" i="17" s="1"/>
  <c r="H16" i="19"/>
  <c r="G16" i="19"/>
  <c r="E58" i="17"/>
  <c r="E74" i="3"/>
  <c r="F57" i="14"/>
  <c r="G11" i="14"/>
  <c r="H11" i="14" s="1"/>
  <c r="I11" i="14" s="1"/>
  <c r="F95" i="14"/>
  <c r="E149" i="18"/>
  <c r="E49" i="18"/>
  <c r="F11" i="18"/>
  <c r="F120" i="14"/>
  <c r="I223" i="17"/>
  <c r="I27" i="17"/>
  <c r="G30" i="18"/>
  <c r="R206" i="18"/>
  <c r="O116" i="18"/>
  <c r="G29" i="17"/>
  <c r="H28" i="17"/>
  <c r="F28" i="17"/>
  <c r="R176" i="17"/>
  <c r="R107" i="18"/>
  <c r="S107" i="18" s="1"/>
  <c r="L219" i="18"/>
  <c r="L27" i="18"/>
  <c r="G126" i="14"/>
  <c r="G23" i="19" s="1"/>
  <c r="F190" i="14"/>
  <c r="R103" i="18"/>
  <c r="F108" i="18"/>
  <c r="E113" i="17"/>
  <c r="R167" i="18"/>
  <c r="S167" i="18" s="1"/>
  <c r="R120" i="18"/>
  <c r="S120" i="18" s="1"/>
  <c r="P28" i="18"/>
  <c r="F28" i="18"/>
  <c r="R172" i="18"/>
  <c r="R199" i="18"/>
  <c r="S199" i="18" s="1"/>
  <c r="R121" i="17"/>
  <c r="S121" i="17" s="1"/>
  <c r="R173" i="18"/>
  <c r="S173" i="18" s="1"/>
  <c r="M29" i="18"/>
  <c r="R66" i="17"/>
  <c r="S66" i="17" s="1"/>
  <c r="R180" i="17"/>
  <c r="S180" i="17" s="1"/>
  <c r="O27" i="18"/>
  <c r="O219" i="18"/>
  <c r="R155" i="18"/>
  <c r="S155" i="18" s="1"/>
  <c r="P30" i="17"/>
  <c r="Q30" i="17"/>
  <c r="Q116" i="18"/>
  <c r="R201" i="17"/>
  <c r="S201" i="17" s="1"/>
  <c r="R177" i="17"/>
  <c r="S177" i="17" s="1"/>
  <c r="R160" i="17"/>
  <c r="G27" i="17"/>
  <c r="G223" i="17"/>
  <c r="R161" i="17"/>
  <c r="S161" i="17" s="1"/>
  <c r="F26" i="19"/>
  <c r="R115" i="18"/>
  <c r="S115" i="18" s="1"/>
  <c r="R96" i="18"/>
  <c r="S96" i="18" s="1"/>
  <c r="P30" i="18"/>
  <c r="L30" i="18"/>
  <c r="K116" i="18"/>
  <c r="I116" i="18"/>
  <c r="Q100" i="18"/>
  <c r="I29" i="17"/>
  <c r="P28" i="17"/>
  <c r="L28" i="17"/>
  <c r="K28" i="17"/>
  <c r="R164" i="17"/>
  <c r="S164" i="17" s="1"/>
  <c r="R114" i="18"/>
  <c r="S114" i="18" s="1"/>
  <c r="R195" i="18"/>
  <c r="S195" i="18" s="1"/>
  <c r="R179" i="18"/>
  <c r="S179" i="18" s="1"/>
  <c r="N27" i="18"/>
  <c r="N219" i="18"/>
  <c r="R154" i="18"/>
  <c r="H27" i="18"/>
  <c r="H219" i="18"/>
  <c r="O100" i="18"/>
  <c r="H223" i="17"/>
  <c r="H27" i="17"/>
  <c r="I20" i="17"/>
  <c r="K20" i="17"/>
  <c r="G25" i="19"/>
  <c r="R169" i="18"/>
  <c r="S169" i="18" s="1"/>
  <c r="O108" i="18"/>
  <c r="J100" i="18"/>
  <c r="R97" i="18"/>
  <c r="S97" i="18" s="1"/>
  <c r="R68" i="17"/>
  <c r="S68" i="17" s="1"/>
  <c r="N108" i="18"/>
  <c r="J108" i="18"/>
  <c r="L108" i="18"/>
  <c r="E114" i="17"/>
  <c r="E97" i="17"/>
  <c r="R202" i="18"/>
  <c r="S202" i="18" s="1"/>
  <c r="R70" i="17"/>
  <c r="S70" i="17" s="1"/>
  <c r="J28" i="18"/>
  <c r="L28" i="18"/>
  <c r="I28" i="18"/>
  <c r="N31" i="18"/>
  <c r="J31" i="18"/>
  <c r="K31" i="18"/>
  <c r="R192" i="18"/>
  <c r="S192" i="18" s="1"/>
  <c r="R82" i="17"/>
  <c r="S82" i="17" s="1"/>
  <c r="R77" i="17"/>
  <c r="S77" i="17" s="1"/>
  <c r="M19" i="17"/>
  <c r="P19" i="17"/>
  <c r="G19" i="17"/>
  <c r="R64" i="17"/>
  <c r="S64" i="17" s="1"/>
  <c r="R197" i="17"/>
  <c r="S197" i="17" s="1"/>
  <c r="R214" i="17"/>
  <c r="S214" i="17" s="1"/>
  <c r="R165" i="17"/>
  <c r="S165" i="17" s="1"/>
  <c r="R118" i="18"/>
  <c r="S118" i="18" s="1"/>
  <c r="R201" i="18"/>
  <c r="S201" i="18" s="1"/>
  <c r="G27" i="18"/>
  <c r="G219" i="18"/>
  <c r="R180" i="18"/>
  <c r="S180" i="18" s="1"/>
  <c r="R84" i="17"/>
  <c r="S84" i="17" s="1"/>
  <c r="I10" i="18"/>
  <c r="H48" i="18"/>
  <c r="H90" i="18"/>
  <c r="H128" i="18" s="1"/>
  <c r="H148" i="18"/>
  <c r="S86" i="18"/>
  <c r="S20" i="18"/>
  <c r="S22" i="18" s="1"/>
  <c r="J10" i="17"/>
  <c r="I153" i="17"/>
  <c r="I90" i="17"/>
  <c r="I128" i="17" s="1"/>
  <c r="I48" i="17"/>
  <c r="L31" i="17"/>
  <c r="N31" i="17"/>
  <c r="O31" i="17"/>
  <c r="R60" i="17"/>
  <c r="S60" i="17" s="1"/>
  <c r="R178" i="18"/>
  <c r="S178" i="18" s="1"/>
  <c r="R74" i="17"/>
  <c r="S74" i="17" s="1"/>
  <c r="R69" i="17"/>
  <c r="S69" i="17" s="1"/>
  <c r="F30" i="18"/>
  <c r="R208" i="18"/>
  <c r="S208" i="18" s="1"/>
  <c r="G29" i="18"/>
  <c r="P29" i="18"/>
  <c r="I29" i="18"/>
  <c r="R174" i="18"/>
  <c r="S174" i="18" s="1"/>
  <c r="R184" i="18"/>
  <c r="S184" i="18" s="1"/>
  <c r="K27" i="17"/>
  <c r="K223" i="17"/>
  <c r="N116" i="18"/>
  <c r="R190" i="17"/>
  <c r="S190" i="17" s="1"/>
  <c r="L223" i="17"/>
  <c r="L27" i="17"/>
  <c r="E96" i="17"/>
  <c r="F31" i="18"/>
  <c r="R213" i="18"/>
  <c r="Q31" i="17"/>
  <c r="J29" i="18"/>
  <c r="R198" i="18"/>
  <c r="S198" i="18" s="1"/>
  <c r="R188" i="17"/>
  <c r="S188" i="17" s="1"/>
  <c r="G30" i="17"/>
  <c r="F30" i="17"/>
  <c r="R209" i="17"/>
  <c r="K30" i="17"/>
  <c r="M30" i="17"/>
  <c r="Q29" i="17"/>
  <c r="J27" i="18"/>
  <c r="J219" i="18"/>
  <c r="K100" i="18"/>
  <c r="R211" i="17"/>
  <c r="S211" i="17" s="1"/>
  <c r="L29" i="17"/>
  <c r="R189" i="17"/>
  <c r="S189" i="17" s="1"/>
  <c r="R185" i="17"/>
  <c r="S185" i="17" s="1"/>
  <c r="R181" i="17"/>
  <c r="S181" i="17" s="1"/>
  <c r="M27" i="17"/>
  <c r="M223" i="17"/>
  <c r="R168" i="17"/>
  <c r="S168" i="17" s="1"/>
  <c r="R172" i="17"/>
  <c r="S172" i="17" s="1"/>
  <c r="R98" i="18"/>
  <c r="S98" i="18" s="1"/>
  <c r="G26" i="19"/>
  <c r="H30" i="18"/>
  <c r="O30" i="18"/>
  <c r="I30" i="18"/>
  <c r="R157" i="18"/>
  <c r="S157" i="18" s="1"/>
  <c r="F116" i="18"/>
  <c r="R111" i="18"/>
  <c r="F100" i="18"/>
  <c r="R95" i="18"/>
  <c r="M100" i="18"/>
  <c r="O29" i="17"/>
  <c r="J28" i="17"/>
  <c r="N28" i="17"/>
  <c r="G28" i="17"/>
  <c r="I219" i="18"/>
  <c r="I27" i="18"/>
  <c r="P29" i="17"/>
  <c r="R187" i="17"/>
  <c r="S187" i="17" s="1"/>
  <c r="R183" i="17"/>
  <c r="S183" i="17" s="1"/>
  <c r="R178" i="17"/>
  <c r="S178" i="17" s="1"/>
  <c r="N27" i="17"/>
  <c r="N223" i="17"/>
  <c r="Q223" i="17"/>
  <c r="Q27" i="17"/>
  <c r="R173" i="17"/>
  <c r="S173" i="17" s="1"/>
  <c r="Q20" i="17"/>
  <c r="F25" i="19"/>
  <c r="F24" i="19"/>
  <c r="G108" i="18"/>
  <c r="Q108" i="18"/>
  <c r="H108" i="18"/>
  <c r="E105" i="17"/>
  <c r="E99" i="17"/>
  <c r="E112" i="17"/>
  <c r="R196" i="18"/>
  <c r="S196" i="18" s="1"/>
  <c r="R162" i="18"/>
  <c r="S162" i="18" s="1"/>
  <c r="R176" i="18"/>
  <c r="S176" i="18" s="1"/>
  <c r="R181" i="18"/>
  <c r="S181" i="18" s="1"/>
  <c r="R203" i="17"/>
  <c r="S203" i="17" s="1"/>
  <c r="R206" i="17"/>
  <c r="S206" i="17" s="1"/>
  <c r="R220" i="17"/>
  <c r="S220" i="17" s="1"/>
  <c r="N28" i="18"/>
  <c r="O28" i="18"/>
  <c r="G28" i="18"/>
  <c r="G31" i="18"/>
  <c r="O31" i="18"/>
  <c r="Q31" i="18"/>
  <c r="F19" i="17"/>
  <c r="R73" i="17"/>
  <c r="I19" i="17"/>
  <c r="J19" i="17"/>
  <c r="R218" i="17"/>
  <c r="S218" i="17" s="1"/>
  <c r="R221" i="17"/>
  <c r="S221" i="17" s="1"/>
  <c r="R138" i="17"/>
  <c r="S138" i="17" s="1"/>
  <c r="R216" i="18"/>
  <c r="S216" i="18" s="1"/>
  <c r="R209" i="18"/>
  <c r="S209" i="18" s="1"/>
  <c r="M219" i="18"/>
  <c r="M27" i="18"/>
  <c r="R185" i="18"/>
  <c r="S185" i="18" s="1"/>
  <c r="R65" i="17"/>
  <c r="S65" i="17" s="1"/>
  <c r="R83" i="17"/>
  <c r="S83" i="17" s="1"/>
  <c r="J31" i="17"/>
  <c r="R217" i="17"/>
  <c r="F31" i="17"/>
  <c r="K31" i="17"/>
  <c r="R200" i="17"/>
  <c r="S200" i="17" s="1"/>
  <c r="R215" i="18"/>
  <c r="S215" i="18" s="1"/>
  <c r="K30" i="18"/>
  <c r="R193" i="18"/>
  <c r="S193" i="18" s="1"/>
  <c r="O29" i="18"/>
  <c r="L29" i="18"/>
  <c r="K29" i="18"/>
  <c r="F91" i="17"/>
  <c r="F129" i="17" s="1"/>
  <c r="F49" i="17"/>
  <c r="F154" i="17"/>
  <c r="G11" i="17"/>
  <c r="R204" i="17"/>
  <c r="S204" i="17" s="1"/>
  <c r="R210" i="17"/>
  <c r="S210" i="17" s="1"/>
  <c r="K27" i="18"/>
  <c r="K219" i="18"/>
  <c r="N29" i="17"/>
  <c r="O28" i="17"/>
  <c r="P100" i="18"/>
  <c r="M116" i="18"/>
  <c r="R162" i="17"/>
  <c r="S162" i="17" s="1"/>
  <c r="F27" i="17"/>
  <c r="F223" i="17"/>
  <c r="I25" i="19"/>
  <c r="P108" i="18"/>
  <c r="E104" i="17"/>
  <c r="R190" i="18"/>
  <c r="S190" i="18" s="1"/>
  <c r="N29" i="18"/>
  <c r="R160" i="18"/>
  <c r="S160" i="18" s="1"/>
  <c r="R113" i="18"/>
  <c r="S113" i="18" s="1"/>
  <c r="R207" i="18"/>
  <c r="S207" i="18" s="1"/>
  <c r="R196" i="17"/>
  <c r="S196" i="17" s="1"/>
  <c r="R184" i="17"/>
  <c r="S184" i="17" s="1"/>
  <c r="R182" i="17"/>
  <c r="S182" i="17" s="1"/>
  <c r="N30" i="17"/>
  <c r="O30" i="17"/>
  <c r="I30" i="17"/>
  <c r="R195" i="17"/>
  <c r="S195" i="17" s="1"/>
  <c r="Q219" i="18"/>
  <c r="Q27" i="18"/>
  <c r="M29" i="17"/>
  <c r="R194" i="17"/>
  <c r="S194" i="17" s="1"/>
  <c r="O27" i="17"/>
  <c r="O223" i="17"/>
  <c r="R112" i="18"/>
  <c r="S112" i="18" s="1"/>
  <c r="R106" i="18"/>
  <c r="S106" i="18" s="1"/>
  <c r="H26" i="19"/>
  <c r="H116" i="18"/>
  <c r="R99" i="18"/>
  <c r="S99" i="18" s="1"/>
  <c r="N30" i="18"/>
  <c r="J30" i="18"/>
  <c r="R182" i="18"/>
  <c r="S182" i="18" s="1"/>
  <c r="L116" i="18"/>
  <c r="L100" i="18"/>
  <c r="I100" i="18"/>
  <c r="R212" i="17"/>
  <c r="S212" i="17" s="1"/>
  <c r="K29" i="17"/>
  <c r="R179" i="17"/>
  <c r="S179" i="17" s="1"/>
  <c r="M28" i="17"/>
  <c r="I28" i="17"/>
  <c r="P219" i="18"/>
  <c r="P27" i="18"/>
  <c r="F29" i="17"/>
  <c r="R193" i="17"/>
  <c r="P223" i="17"/>
  <c r="P27" i="17"/>
  <c r="J223" i="17"/>
  <c r="J27" i="17"/>
  <c r="R169" i="17"/>
  <c r="S169" i="17" s="1"/>
  <c r="N20" i="17"/>
  <c r="R80" i="17"/>
  <c r="F20" i="17"/>
  <c r="L20" i="17"/>
  <c r="R104" i="18"/>
  <c r="S104" i="18" s="1"/>
  <c r="H25" i="19"/>
  <c r="E98" i="17"/>
  <c r="R105" i="18"/>
  <c r="S105" i="18" s="1"/>
  <c r="E107" i="17"/>
  <c r="R140" i="17"/>
  <c r="S140" i="17" s="1"/>
  <c r="M108" i="18"/>
  <c r="K108" i="18"/>
  <c r="E106" i="17"/>
  <c r="R210" i="18"/>
  <c r="S210" i="18" s="1"/>
  <c r="R158" i="18"/>
  <c r="S158" i="18" s="1"/>
  <c r="R81" i="17"/>
  <c r="S81" i="17" s="1"/>
  <c r="R76" i="17"/>
  <c r="S76" i="17" s="1"/>
  <c r="R67" i="17"/>
  <c r="S67" i="17" s="1"/>
  <c r="K28" i="18"/>
  <c r="H28" i="18"/>
  <c r="Q28" i="18"/>
  <c r="L31" i="18"/>
  <c r="H31" i="18"/>
  <c r="M31" i="18"/>
  <c r="R203" i="18"/>
  <c r="S203" i="18" s="1"/>
  <c r="R159" i="18"/>
  <c r="S159" i="18" s="1"/>
  <c r="R177" i="18"/>
  <c r="S177" i="18" s="1"/>
  <c r="R121" i="18"/>
  <c r="S121" i="18" s="1"/>
  <c r="N19" i="17"/>
  <c r="Q19" i="17"/>
  <c r="O19" i="17"/>
  <c r="R194" i="18"/>
  <c r="S194" i="18" s="1"/>
  <c r="F27" i="18"/>
  <c r="F219" i="18"/>
  <c r="R156" i="18"/>
  <c r="S156" i="18" s="1"/>
  <c r="R175" i="18"/>
  <c r="S175" i="18" s="1"/>
  <c r="R119" i="18"/>
  <c r="S119" i="18" s="1"/>
  <c r="R202" i="17"/>
  <c r="S202" i="17" s="1"/>
  <c r="P31" i="17"/>
  <c r="M31" i="17"/>
  <c r="G31" i="17"/>
  <c r="R164" i="18"/>
  <c r="S164" i="18" s="1"/>
  <c r="R75" i="17"/>
  <c r="S75" i="17" s="1"/>
  <c r="R115" i="17"/>
  <c r="S115" i="17" s="1"/>
  <c r="H29" i="18"/>
  <c r="R189" i="18"/>
  <c r="F29" i="18"/>
  <c r="Q29" i="18"/>
  <c r="R120" i="17"/>
  <c r="S120" i="17" s="1"/>
  <c r="G123" i="18" l="1"/>
  <c r="H139" i="18"/>
  <c r="F139" i="18"/>
  <c r="K139" i="18"/>
  <c r="N139" i="18"/>
  <c r="I139" i="18"/>
  <c r="G139" i="18"/>
  <c r="M139" i="18"/>
  <c r="P139" i="18"/>
  <c r="Q139" i="18"/>
  <c r="L139" i="18"/>
  <c r="J139" i="18"/>
  <c r="O139" i="18"/>
  <c r="J138" i="18"/>
  <c r="Q138" i="18"/>
  <c r="F138" i="18"/>
  <c r="H138" i="18"/>
  <c r="M138" i="18"/>
  <c r="G138" i="18"/>
  <c r="O138" i="18"/>
  <c r="N138" i="18"/>
  <c r="L138" i="18"/>
  <c r="K138" i="18"/>
  <c r="I138" i="18"/>
  <c r="P138" i="18"/>
  <c r="I16" i="19"/>
  <c r="J134" i="18"/>
  <c r="F134" i="18"/>
  <c r="K134" i="18"/>
  <c r="Q134" i="18"/>
  <c r="G134" i="18"/>
  <c r="L134" i="18"/>
  <c r="O134" i="18"/>
  <c r="M134" i="18"/>
  <c r="I134" i="18"/>
  <c r="P134" i="18"/>
  <c r="N134" i="18"/>
  <c r="H134" i="18"/>
  <c r="N135" i="18"/>
  <c r="F135" i="18"/>
  <c r="J135" i="18"/>
  <c r="I135" i="18"/>
  <c r="O135" i="18"/>
  <c r="L135" i="18"/>
  <c r="Q135" i="18"/>
  <c r="G135" i="18"/>
  <c r="P135" i="18"/>
  <c r="H135" i="18"/>
  <c r="K135" i="18"/>
  <c r="M135" i="18"/>
  <c r="G136" i="18"/>
  <c r="J136" i="18"/>
  <c r="L136" i="18"/>
  <c r="H136" i="18"/>
  <c r="N136" i="18"/>
  <c r="M136" i="18"/>
  <c r="F136" i="18"/>
  <c r="K136" i="18"/>
  <c r="I136" i="18"/>
  <c r="Q136" i="18"/>
  <c r="P136" i="18"/>
  <c r="O136" i="18"/>
  <c r="J137" i="18"/>
  <c r="Q137" i="18"/>
  <c r="P137" i="18"/>
  <c r="I137" i="18"/>
  <c r="K137" i="18"/>
  <c r="M137" i="18"/>
  <c r="N137" i="18"/>
  <c r="G137" i="18"/>
  <c r="H137" i="18"/>
  <c r="F137" i="18"/>
  <c r="L137" i="18"/>
  <c r="O137" i="18"/>
  <c r="L123" i="18"/>
  <c r="L25" i="18" s="1"/>
  <c r="P141" i="18"/>
  <c r="J141" i="18"/>
  <c r="O141" i="18"/>
  <c r="N141" i="18"/>
  <c r="F141" i="18"/>
  <c r="K141" i="18"/>
  <c r="Q141" i="18"/>
  <c r="G141" i="18"/>
  <c r="M141" i="18"/>
  <c r="I133" i="18"/>
  <c r="Q133" i="18"/>
  <c r="I141" i="18"/>
  <c r="H141" i="18"/>
  <c r="O133" i="18"/>
  <c r="G133" i="18"/>
  <c r="L133" i="18"/>
  <c r="P133" i="18"/>
  <c r="H133" i="18"/>
  <c r="N133" i="18"/>
  <c r="E112" i="15"/>
  <c r="D22" i="19" s="1"/>
  <c r="D28" i="19" s="1"/>
  <c r="D30" i="19" s="1"/>
  <c r="D32" i="19" s="1"/>
  <c r="E13" i="19" s="1"/>
  <c r="F133" i="18"/>
  <c r="K133" i="18"/>
  <c r="J133" i="18"/>
  <c r="J123" i="18"/>
  <c r="J25" i="18" s="1"/>
  <c r="I123" i="18"/>
  <c r="I25" i="18" s="1"/>
  <c r="F123" i="18"/>
  <c r="F25" i="18" s="1"/>
  <c r="N123" i="18"/>
  <c r="N25" i="18" s="1"/>
  <c r="H123" i="18"/>
  <c r="H25" i="18" s="1"/>
  <c r="Q123" i="18"/>
  <c r="Q25" i="18" s="1"/>
  <c r="G11" i="11"/>
  <c r="G45" i="11" s="1"/>
  <c r="I11" i="3"/>
  <c r="I11" i="11" s="1"/>
  <c r="H11" i="11"/>
  <c r="R63" i="17"/>
  <c r="S63" i="17" s="1"/>
  <c r="S18" i="17" s="1"/>
  <c r="F18" i="17"/>
  <c r="E15" i="19"/>
  <c r="R57" i="17"/>
  <c r="S57" i="17" s="1"/>
  <c r="E52" i="14"/>
  <c r="E86" i="17"/>
  <c r="E17" i="17"/>
  <c r="E22" i="17" s="1"/>
  <c r="E7" i="17" s="1"/>
  <c r="E230" i="17" s="1"/>
  <c r="G57" i="14"/>
  <c r="G95" i="14"/>
  <c r="G120" i="14"/>
  <c r="F149" i="18"/>
  <c r="G11" i="18"/>
  <c r="F91" i="18"/>
  <c r="F129" i="18" s="1"/>
  <c r="F49" i="18"/>
  <c r="F98" i="17"/>
  <c r="J98" i="17"/>
  <c r="N98" i="17"/>
  <c r="I98" i="17"/>
  <c r="O98" i="17"/>
  <c r="K98" i="17"/>
  <c r="P98" i="17"/>
  <c r="M98" i="17"/>
  <c r="G98" i="17"/>
  <c r="Q98" i="17"/>
  <c r="H98" i="17"/>
  <c r="L98" i="17"/>
  <c r="H11" i="17"/>
  <c r="G154" i="17"/>
  <c r="G91" i="17"/>
  <c r="G129" i="17" s="1"/>
  <c r="G49" i="17"/>
  <c r="R19" i="17"/>
  <c r="S73" i="17"/>
  <c r="S19" i="17" s="1"/>
  <c r="F114" i="17"/>
  <c r="J114" i="17"/>
  <c r="N114" i="17"/>
  <c r="I114" i="17"/>
  <c r="O114" i="17"/>
  <c r="K114" i="17"/>
  <c r="Q114" i="17"/>
  <c r="L114" i="17"/>
  <c r="P114" i="17"/>
  <c r="G114" i="17"/>
  <c r="M114" i="17"/>
  <c r="H114" i="17"/>
  <c r="R28" i="18"/>
  <c r="S172" i="18"/>
  <c r="S28" i="18" s="1"/>
  <c r="E95" i="17"/>
  <c r="E61" i="14"/>
  <c r="F107" i="17"/>
  <c r="J107" i="17"/>
  <c r="N107" i="17"/>
  <c r="I107" i="17"/>
  <c r="O107" i="17"/>
  <c r="K107" i="17"/>
  <c r="P107" i="17"/>
  <c r="H107" i="17"/>
  <c r="L107" i="17"/>
  <c r="G107" i="17"/>
  <c r="M107" i="17"/>
  <c r="Q107" i="17"/>
  <c r="S80" i="17"/>
  <c r="S20" i="17" s="1"/>
  <c r="R20" i="17"/>
  <c r="J132" i="18"/>
  <c r="N132" i="18"/>
  <c r="K132" i="18"/>
  <c r="P132" i="18"/>
  <c r="I132" i="18"/>
  <c r="Q132" i="18"/>
  <c r="L132" i="18"/>
  <c r="G132" i="18"/>
  <c r="M132" i="18"/>
  <c r="F132" i="18"/>
  <c r="H132" i="18"/>
  <c r="O132" i="18"/>
  <c r="E143" i="18"/>
  <c r="E221" i="18" s="1"/>
  <c r="F99" i="17"/>
  <c r="J99" i="17"/>
  <c r="N99" i="17"/>
  <c r="H99" i="17"/>
  <c r="M99" i="17"/>
  <c r="I99" i="17"/>
  <c r="O99" i="17"/>
  <c r="L99" i="17"/>
  <c r="P99" i="17"/>
  <c r="K99" i="17"/>
  <c r="Q99" i="17"/>
  <c r="G99" i="17"/>
  <c r="S111" i="18"/>
  <c r="S116" i="18" s="1"/>
  <c r="R116" i="18"/>
  <c r="J10" i="18"/>
  <c r="I48" i="18"/>
  <c r="I148" i="18"/>
  <c r="I90" i="18"/>
  <c r="I128" i="18" s="1"/>
  <c r="E103" i="17"/>
  <c r="E69" i="14"/>
  <c r="R27" i="18"/>
  <c r="S154" i="18"/>
  <c r="R219" i="18"/>
  <c r="R28" i="17"/>
  <c r="S176" i="17"/>
  <c r="S28" i="17" s="1"/>
  <c r="E116" i="17"/>
  <c r="F106" i="17"/>
  <c r="J106" i="17"/>
  <c r="N106" i="17"/>
  <c r="H106" i="17"/>
  <c r="M106" i="17"/>
  <c r="I106" i="17"/>
  <c r="P106" i="17"/>
  <c r="K106" i="17"/>
  <c r="Q106" i="17"/>
  <c r="G106" i="17"/>
  <c r="L106" i="17"/>
  <c r="O106" i="17"/>
  <c r="R31" i="17"/>
  <c r="S217" i="17"/>
  <c r="S31" i="17" s="1"/>
  <c r="M123" i="18"/>
  <c r="K123" i="18"/>
  <c r="E108" i="17"/>
  <c r="O123" i="18"/>
  <c r="F113" i="17"/>
  <c r="J113" i="17"/>
  <c r="N113" i="17"/>
  <c r="K113" i="17"/>
  <c r="P113" i="17"/>
  <c r="H113" i="17"/>
  <c r="O113" i="17"/>
  <c r="I113" i="17"/>
  <c r="Q113" i="17"/>
  <c r="M113" i="17"/>
  <c r="G113" i="17"/>
  <c r="L113" i="17"/>
  <c r="H126" i="14"/>
  <c r="H23" i="19" s="1"/>
  <c r="G190" i="14"/>
  <c r="S206" i="18"/>
  <c r="S30" i="18" s="1"/>
  <c r="R30" i="18"/>
  <c r="R29" i="17"/>
  <c r="S193" i="17"/>
  <c r="S29" i="17" s="1"/>
  <c r="P123" i="18"/>
  <c r="G24" i="19"/>
  <c r="R30" i="17"/>
  <c r="S209" i="17"/>
  <c r="S30" i="17" s="1"/>
  <c r="R31" i="18"/>
  <c r="S213" i="18"/>
  <c r="S31" i="18" s="1"/>
  <c r="R108" i="18"/>
  <c r="S103" i="18"/>
  <c r="S108" i="18" s="1"/>
  <c r="R29" i="18"/>
  <c r="S189" i="18"/>
  <c r="S29" i="18" s="1"/>
  <c r="E111" i="17"/>
  <c r="E77" i="14"/>
  <c r="F104" i="17"/>
  <c r="J104" i="17"/>
  <c r="N104" i="17"/>
  <c r="K104" i="17"/>
  <c r="P104" i="17"/>
  <c r="L104" i="17"/>
  <c r="G104" i="17"/>
  <c r="M104" i="17"/>
  <c r="Q104" i="17"/>
  <c r="H104" i="17"/>
  <c r="O104" i="17"/>
  <c r="I104" i="17"/>
  <c r="G25" i="18"/>
  <c r="F112" i="17"/>
  <c r="J112" i="17"/>
  <c r="N112" i="17"/>
  <c r="G112" i="17"/>
  <c r="L112" i="17"/>
  <c r="Q112" i="17"/>
  <c r="M112" i="17"/>
  <c r="H112" i="17"/>
  <c r="O112" i="17"/>
  <c r="K112" i="17"/>
  <c r="P112" i="17"/>
  <c r="I112" i="17"/>
  <c r="F105" i="17"/>
  <c r="J105" i="17"/>
  <c r="N105" i="17"/>
  <c r="I105" i="17"/>
  <c r="O105" i="17"/>
  <c r="G105" i="17"/>
  <c r="M105" i="17"/>
  <c r="H105" i="17"/>
  <c r="P105" i="17"/>
  <c r="K105" i="17"/>
  <c r="L105" i="17"/>
  <c r="Q105" i="17"/>
  <c r="S95" i="18"/>
  <c r="S100" i="18" s="1"/>
  <c r="R100" i="18"/>
  <c r="F96" i="17"/>
  <c r="J96" i="17"/>
  <c r="N96" i="17"/>
  <c r="G96" i="17"/>
  <c r="L96" i="17"/>
  <c r="Q96" i="17"/>
  <c r="H96" i="17"/>
  <c r="M96" i="17"/>
  <c r="P96" i="17"/>
  <c r="I96" i="17"/>
  <c r="K96" i="17"/>
  <c r="O96" i="17"/>
  <c r="H95" i="14"/>
  <c r="H120" i="14"/>
  <c r="H57" i="14"/>
  <c r="J90" i="17"/>
  <c r="J128" i="17" s="1"/>
  <c r="J48" i="17"/>
  <c r="J153" i="17"/>
  <c r="K10" i="17"/>
  <c r="F97" i="17"/>
  <c r="J97" i="17"/>
  <c r="N97" i="17"/>
  <c r="K97" i="17"/>
  <c r="P97" i="17"/>
  <c r="G97" i="17"/>
  <c r="L97" i="17"/>
  <c r="Q97" i="17"/>
  <c r="O97" i="17"/>
  <c r="H97" i="17"/>
  <c r="M97" i="17"/>
  <c r="I97" i="17"/>
  <c r="S160" i="17"/>
  <c r="R27" i="17"/>
  <c r="R223" i="17"/>
  <c r="G230" i="17" l="1"/>
  <c r="R56" i="17"/>
  <c r="S56" i="17" s="1"/>
  <c r="E19" i="19"/>
  <c r="H230" i="17" s="1"/>
  <c r="R138" i="18"/>
  <c r="S138" i="18" s="1"/>
  <c r="R139" i="18"/>
  <c r="S139" i="18" s="1"/>
  <c r="K143" i="18"/>
  <c r="K26" i="18" s="1"/>
  <c r="R136" i="18"/>
  <c r="S136" i="18" s="1"/>
  <c r="R137" i="18"/>
  <c r="S137" i="18" s="1"/>
  <c r="R135" i="18"/>
  <c r="S135" i="18" s="1"/>
  <c r="R134" i="18"/>
  <c r="S134" i="18" s="1"/>
  <c r="R141" i="18"/>
  <c r="S141" i="18" s="1"/>
  <c r="M143" i="18"/>
  <c r="M26" i="18" s="1"/>
  <c r="Q143" i="18"/>
  <c r="Q26" i="18" s="1"/>
  <c r="Q33" i="18" s="1"/>
  <c r="Q35" i="18" s="1"/>
  <c r="I143" i="18"/>
  <c r="I26" i="18" s="1"/>
  <c r="I33" i="18" s="1"/>
  <c r="I35" i="18" s="1"/>
  <c r="H143" i="18"/>
  <c r="H26" i="18" s="1"/>
  <c r="H33" i="18" s="1"/>
  <c r="H35" i="18" s="1"/>
  <c r="O143" i="18"/>
  <c r="O26" i="18" s="1"/>
  <c r="G143" i="18"/>
  <c r="G26" i="18" s="1"/>
  <c r="G33" i="18" s="1"/>
  <c r="G35" i="18" s="1"/>
  <c r="H114" i="14" s="1"/>
  <c r="H22" i="19" s="1"/>
  <c r="P143" i="18"/>
  <c r="P26" i="18" s="1"/>
  <c r="L143" i="18"/>
  <c r="L26" i="18" s="1"/>
  <c r="L33" i="18" s="1"/>
  <c r="L35" i="18" s="1"/>
  <c r="J143" i="18"/>
  <c r="J26" i="18" s="1"/>
  <c r="J33" i="18" s="1"/>
  <c r="J35" i="18" s="1"/>
  <c r="R133" i="18"/>
  <c r="S133" i="18" s="1"/>
  <c r="N143" i="18"/>
  <c r="N26" i="18" s="1"/>
  <c r="N33" i="18" s="1"/>
  <c r="N35" i="18" s="1"/>
  <c r="E190" i="15"/>
  <c r="E197" i="15" s="1"/>
  <c r="G84" i="11"/>
  <c r="S123" i="18"/>
  <c r="S25" i="18" s="1"/>
  <c r="R123" i="18"/>
  <c r="R25" i="18" s="1"/>
  <c r="H84" i="11"/>
  <c r="H45" i="11"/>
  <c r="I84" i="11"/>
  <c r="I45" i="11"/>
  <c r="F52" i="14"/>
  <c r="H15" i="19"/>
  <c r="G52" i="14"/>
  <c r="R18" i="17"/>
  <c r="H52" i="14"/>
  <c r="G15" i="19"/>
  <c r="K86" i="17"/>
  <c r="K17" i="17"/>
  <c r="K22" i="17" s="1"/>
  <c r="F15" i="19"/>
  <c r="M17" i="17"/>
  <c r="M22" i="17" s="1"/>
  <c r="M86" i="17"/>
  <c r="Q17" i="17"/>
  <c r="Q22" i="17" s="1"/>
  <c r="Q86" i="17"/>
  <c r="N17" i="17"/>
  <c r="N22" i="17" s="1"/>
  <c r="N86" i="17"/>
  <c r="I86" i="17"/>
  <c r="I17" i="17"/>
  <c r="I22" i="17" s="1"/>
  <c r="I15" i="19"/>
  <c r="I52" i="14"/>
  <c r="H17" i="17"/>
  <c r="H22" i="17" s="1"/>
  <c r="H86" i="17"/>
  <c r="O86" i="17"/>
  <c r="O17" i="17"/>
  <c r="O22" i="17" s="1"/>
  <c r="P17" i="17"/>
  <c r="P22" i="17" s="1"/>
  <c r="P86" i="17"/>
  <c r="G86" i="17"/>
  <c r="G17" i="17"/>
  <c r="G22" i="17" s="1"/>
  <c r="J17" i="17"/>
  <c r="J22" i="17" s="1"/>
  <c r="J86" i="17"/>
  <c r="F17" i="17"/>
  <c r="F22" i="17" s="1"/>
  <c r="F86" i="17"/>
  <c r="R58" i="17"/>
  <c r="L86" i="17"/>
  <c r="L17" i="17"/>
  <c r="L22" i="17" s="1"/>
  <c r="H11" i="18"/>
  <c r="G91" i="18"/>
  <c r="G129" i="18" s="1"/>
  <c r="G49" i="18"/>
  <c r="G149" i="18"/>
  <c r="S223" i="17"/>
  <c r="S27" i="17"/>
  <c r="J48" i="18"/>
  <c r="K10" i="18"/>
  <c r="J90" i="18"/>
  <c r="J128" i="18" s="1"/>
  <c r="J148" i="18"/>
  <c r="R104" i="17"/>
  <c r="S104" i="17" s="1"/>
  <c r="O25" i="18"/>
  <c r="M25" i="18"/>
  <c r="R132" i="18"/>
  <c r="F143" i="18"/>
  <c r="G95" i="17"/>
  <c r="G100" i="17" s="1"/>
  <c r="K95" i="17"/>
  <c r="K100" i="17" s="1"/>
  <c r="O95" i="17"/>
  <c r="O100" i="17" s="1"/>
  <c r="H95" i="17"/>
  <c r="H100" i="17" s="1"/>
  <c r="M95" i="17"/>
  <c r="M100" i="17" s="1"/>
  <c r="F95" i="17"/>
  <c r="I95" i="17"/>
  <c r="I100" i="17" s="1"/>
  <c r="N95" i="17"/>
  <c r="N100" i="17" s="1"/>
  <c r="L95" i="17"/>
  <c r="L100" i="17" s="1"/>
  <c r="P95" i="17"/>
  <c r="P100" i="17" s="1"/>
  <c r="J95" i="17"/>
  <c r="J100" i="17" s="1"/>
  <c r="Q95" i="17"/>
  <c r="Q100" i="17" s="1"/>
  <c r="R114" i="17"/>
  <c r="S114" i="17" s="1"/>
  <c r="R112" i="17"/>
  <c r="S112" i="17" s="1"/>
  <c r="K25" i="18"/>
  <c r="K33" i="18" s="1"/>
  <c r="K35" i="18" s="1"/>
  <c r="G103" i="17"/>
  <c r="G108" i="17" s="1"/>
  <c r="K103" i="17"/>
  <c r="K108" i="17" s="1"/>
  <c r="O103" i="17"/>
  <c r="O108" i="17" s="1"/>
  <c r="I103" i="17"/>
  <c r="I108" i="17" s="1"/>
  <c r="N103" i="17"/>
  <c r="N108" i="17" s="1"/>
  <c r="J103" i="17"/>
  <c r="J108" i="17" s="1"/>
  <c r="P103" i="17"/>
  <c r="P108" i="17" s="1"/>
  <c r="H103" i="17"/>
  <c r="H108" i="17" s="1"/>
  <c r="F103" i="17"/>
  <c r="L103" i="17"/>
  <c r="L108" i="17" s="1"/>
  <c r="Q103" i="17"/>
  <c r="Q108" i="17" s="1"/>
  <c r="M103" i="17"/>
  <c r="M108" i="17" s="1"/>
  <c r="H21" i="19"/>
  <c r="F21" i="19"/>
  <c r="R106" i="17"/>
  <c r="S106" i="17" s="1"/>
  <c r="S27" i="18"/>
  <c r="S219" i="18"/>
  <c r="E26" i="18"/>
  <c r="E33" i="18" s="1"/>
  <c r="E35" i="18" s="1"/>
  <c r="R107" i="17"/>
  <c r="S107" i="17" s="1"/>
  <c r="H91" i="17"/>
  <c r="H129" i="17" s="1"/>
  <c r="H49" i="17"/>
  <c r="H154" i="17"/>
  <c r="I11" i="17"/>
  <c r="I95" i="14"/>
  <c r="I57" i="14"/>
  <c r="I120" i="14"/>
  <c r="R113" i="17"/>
  <c r="S113" i="17" s="1"/>
  <c r="E100" i="17"/>
  <c r="R99" i="17"/>
  <c r="S99" i="17" s="1"/>
  <c r="R97" i="17"/>
  <c r="S97" i="17" s="1"/>
  <c r="L10" i="17"/>
  <c r="K48" i="17"/>
  <c r="K153" i="17"/>
  <c r="K90" i="17"/>
  <c r="K128" i="17" s="1"/>
  <c r="R96" i="17"/>
  <c r="S96" i="17" s="1"/>
  <c r="R105" i="17"/>
  <c r="S105" i="17" s="1"/>
  <c r="G111" i="17"/>
  <c r="G116" i="17" s="1"/>
  <c r="K111" i="17"/>
  <c r="K116" i="17" s="1"/>
  <c r="O111" i="17"/>
  <c r="O116" i="17" s="1"/>
  <c r="H111" i="17"/>
  <c r="H116" i="17" s="1"/>
  <c r="M111" i="17"/>
  <c r="M116" i="17" s="1"/>
  <c r="F111" i="17"/>
  <c r="I111" i="17"/>
  <c r="I116" i="17" s="1"/>
  <c r="P111" i="17"/>
  <c r="P116" i="17" s="1"/>
  <c r="J111" i="17"/>
  <c r="J116" i="17" s="1"/>
  <c r="Q111" i="17"/>
  <c r="Q116" i="17" s="1"/>
  <c r="L111" i="17"/>
  <c r="L116" i="17" s="1"/>
  <c r="N111" i="17"/>
  <c r="N116" i="17" s="1"/>
  <c r="F114" i="14"/>
  <c r="F22" i="19" s="1"/>
  <c r="H24" i="19"/>
  <c r="P25" i="18"/>
  <c r="I126" i="14"/>
  <c r="I23" i="19" s="1"/>
  <c r="H190" i="14"/>
  <c r="R98" i="17"/>
  <c r="S98" i="17" s="1"/>
  <c r="I19" i="19" l="1"/>
  <c r="H19" i="19"/>
  <c r="F19" i="19"/>
  <c r="G19" i="19"/>
  <c r="K221" i="18"/>
  <c r="M33" i="18"/>
  <c r="M35" i="18" s="1"/>
  <c r="M221" i="18"/>
  <c r="Q221" i="18"/>
  <c r="O221" i="18"/>
  <c r="O33" i="18"/>
  <c r="O35" i="18" s="1"/>
  <c r="I221" i="18"/>
  <c r="H221" i="18"/>
  <c r="G221" i="18"/>
  <c r="P221" i="18"/>
  <c r="P33" i="18"/>
  <c r="P35" i="18" s="1"/>
  <c r="L221" i="18"/>
  <c r="J221" i="18"/>
  <c r="N221" i="18"/>
  <c r="I123" i="17"/>
  <c r="I25" i="17" s="1"/>
  <c r="J123" i="17"/>
  <c r="J25" i="17" s="1"/>
  <c r="S58" i="17"/>
  <c r="R86" i="17"/>
  <c r="R17" i="17"/>
  <c r="R22" i="17" s="1"/>
  <c r="H49" i="18"/>
  <c r="I11" i="18"/>
  <c r="H91" i="18"/>
  <c r="H129" i="18" s="1"/>
  <c r="H149" i="18"/>
  <c r="H28" i="19"/>
  <c r="H30" i="19" s="1"/>
  <c r="H197" i="14" s="1"/>
  <c r="F26" i="18"/>
  <c r="F33" i="18" s="1"/>
  <c r="F35" i="18" s="1"/>
  <c r="F43" i="18" s="1"/>
  <c r="G14" i="18" s="1"/>
  <c r="G43" i="18" s="1"/>
  <c r="H14" i="18" s="1"/>
  <c r="H43" i="18" s="1"/>
  <c r="I14" i="18" s="1"/>
  <c r="I43" i="18" s="1"/>
  <c r="J14" i="18" s="1"/>
  <c r="J43" i="18" s="1"/>
  <c r="K14" i="18" s="1"/>
  <c r="K43" i="18" s="1"/>
  <c r="L14" i="18" s="1"/>
  <c r="L43" i="18" s="1"/>
  <c r="M14" i="18" s="1"/>
  <c r="F221" i="18"/>
  <c r="E133" i="17"/>
  <c r="G21" i="19"/>
  <c r="I190" i="14"/>
  <c r="I24" i="19"/>
  <c r="F192" i="14"/>
  <c r="F196" i="14" s="1"/>
  <c r="P123" i="17"/>
  <c r="R95" i="17"/>
  <c r="F100" i="17"/>
  <c r="K123" i="17"/>
  <c r="R143" i="18"/>
  <c r="S132" i="18"/>
  <c r="S143" i="18" s="1"/>
  <c r="E89" i="14"/>
  <c r="E123" i="17"/>
  <c r="E146" i="17"/>
  <c r="E143" i="17"/>
  <c r="E144" i="17"/>
  <c r="F116" i="17"/>
  <c r="R111" i="17"/>
  <c r="E134" i="17"/>
  <c r="F28" i="19"/>
  <c r="R103" i="17"/>
  <c r="F108" i="17"/>
  <c r="L123" i="17"/>
  <c r="M123" i="17"/>
  <c r="G123" i="17"/>
  <c r="E135" i="17"/>
  <c r="E132" i="17"/>
  <c r="E111" i="13"/>
  <c r="E188" i="13" s="1"/>
  <c r="F231" i="17" s="1"/>
  <c r="F232" i="17" s="1"/>
  <c r="E98" i="14"/>
  <c r="E145" i="17"/>
  <c r="O123" i="17"/>
  <c r="E141" i="17"/>
  <c r="L90" i="17"/>
  <c r="L128" i="17" s="1"/>
  <c r="L48" i="17"/>
  <c r="L153" i="17"/>
  <c r="M10" i="17"/>
  <c r="J11" i="17"/>
  <c r="I49" i="17"/>
  <c r="I91" i="17"/>
  <c r="I129" i="17" s="1"/>
  <c r="I154" i="17"/>
  <c r="H192" i="14"/>
  <c r="H196" i="14" s="1"/>
  <c r="Q123" i="17"/>
  <c r="N123" i="17"/>
  <c r="H123" i="17"/>
  <c r="E136" i="17"/>
  <c r="E142" i="17"/>
  <c r="E137" i="17"/>
  <c r="G114" i="14"/>
  <c r="G22" i="19" s="1"/>
  <c r="K148" i="18"/>
  <c r="L10" i="18"/>
  <c r="K48" i="18"/>
  <c r="K90" i="18"/>
  <c r="K128" i="18" s="1"/>
  <c r="M7" i="13" l="1"/>
  <c r="E193" i="13"/>
  <c r="F30" i="19"/>
  <c r="F197" i="14" s="1"/>
  <c r="M43" i="18"/>
  <c r="N14" i="18" s="1"/>
  <c r="N43" i="18" s="1"/>
  <c r="O14" i="18" s="1"/>
  <c r="O43" i="18" s="1"/>
  <c r="P14" i="18" s="1"/>
  <c r="P43" i="18" s="1"/>
  <c r="Q14" i="18" s="1"/>
  <c r="Q43" i="18" s="1"/>
  <c r="E14" i="17" s="1"/>
  <c r="F14" i="17" s="1"/>
  <c r="S17" i="17"/>
  <c r="S22" i="17" s="1"/>
  <c r="S86" i="17"/>
  <c r="I91" i="18"/>
  <c r="I129" i="18" s="1"/>
  <c r="J11" i="18"/>
  <c r="I149" i="18"/>
  <c r="I49" i="18"/>
  <c r="H25" i="17"/>
  <c r="I141" i="17"/>
  <c r="M141" i="17"/>
  <c r="Q141" i="17"/>
  <c r="H141" i="17"/>
  <c r="N141" i="17"/>
  <c r="J141" i="17"/>
  <c r="O141" i="17"/>
  <c r="F141" i="17"/>
  <c r="K141" i="17"/>
  <c r="P141" i="17"/>
  <c r="G141" i="17"/>
  <c r="L141" i="17"/>
  <c r="E114" i="14"/>
  <c r="E22" i="19" s="1"/>
  <c r="F135" i="17"/>
  <c r="J135" i="17"/>
  <c r="N135" i="17"/>
  <c r="G135" i="17"/>
  <c r="L135" i="17"/>
  <c r="Q135" i="17"/>
  <c r="K135" i="17"/>
  <c r="M135" i="17"/>
  <c r="H135" i="17"/>
  <c r="O135" i="17"/>
  <c r="P135" i="17"/>
  <c r="I135" i="17"/>
  <c r="H134" i="17"/>
  <c r="L134" i="17"/>
  <c r="P134" i="17"/>
  <c r="J134" i="17"/>
  <c r="O134" i="17"/>
  <c r="K134" i="17"/>
  <c r="F134" i="17"/>
  <c r="M134" i="17"/>
  <c r="G134" i="17"/>
  <c r="N134" i="17"/>
  <c r="I134" i="17"/>
  <c r="Q134" i="17"/>
  <c r="I143" i="17"/>
  <c r="M143" i="17"/>
  <c r="Q143" i="17"/>
  <c r="G143" i="17"/>
  <c r="L143" i="17"/>
  <c r="H143" i="17"/>
  <c r="N143" i="17"/>
  <c r="J143" i="17"/>
  <c r="O143" i="17"/>
  <c r="F143" i="17"/>
  <c r="K143" i="17"/>
  <c r="P143" i="17"/>
  <c r="E25" i="17"/>
  <c r="K25" i="17"/>
  <c r="L148" i="18"/>
  <c r="L48" i="18"/>
  <c r="M10" i="18"/>
  <c r="L90" i="18"/>
  <c r="L128" i="18" s="1"/>
  <c r="G136" i="17"/>
  <c r="K136" i="17"/>
  <c r="O136" i="17"/>
  <c r="I136" i="17"/>
  <c r="N136" i="17"/>
  <c r="J136" i="17"/>
  <c r="P136" i="17"/>
  <c r="F136" i="17"/>
  <c r="L136" i="17"/>
  <c r="Q136" i="17"/>
  <c r="H136" i="17"/>
  <c r="M136" i="17"/>
  <c r="N10" i="17"/>
  <c r="M153" i="17"/>
  <c r="M90" i="17"/>
  <c r="M128" i="17" s="1"/>
  <c r="M48" i="17"/>
  <c r="L25" i="17"/>
  <c r="G142" i="17"/>
  <c r="K142" i="17"/>
  <c r="O142" i="17"/>
  <c r="J142" i="17"/>
  <c r="P142" i="17"/>
  <c r="F142" i="17"/>
  <c r="L142" i="17"/>
  <c r="Q142" i="17"/>
  <c r="H142" i="17"/>
  <c r="M142" i="17"/>
  <c r="N142" i="17"/>
  <c r="I142" i="17"/>
  <c r="N25" i="17"/>
  <c r="J91" i="17"/>
  <c r="J129" i="17" s="1"/>
  <c r="J49" i="17"/>
  <c r="K11" i="17"/>
  <c r="J154" i="17"/>
  <c r="O25" i="17"/>
  <c r="G25" i="17"/>
  <c r="R108" i="17"/>
  <c r="S103" i="17"/>
  <c r="S108" i="17" s="1"/>
  <c r="E21" i="19"/>
  <c r="F123" i="17"/>
  <c r="I21" i="19"/>
  <c r="G192" i="14"/>
  <c r="G196" i="14" s="1"/>
  <c r="F133" i="17"/>
  <c r="J133" i="17"/>
  <c r="N133" i="17"/>
  <c r="H133" i="17"/>
  <c r="M133" i="17"/>
  <c r="K133" i="17"/>
  <c r="Q133" i="17"/>
  <c r="L133" i="17"/>
  <c r="G133" i="17"/>
  <c r="O133" i="17"/>
  <c r="P133" i="17"/>
  <c r="I133" i="17"/>
  <c r="I137" i="17"/>
  <c r="M137" i="17"/>
  <c r="Q137" i="17"/>
  <c r="F137" i="17"/>
  <c r="K137" i="17"/>
  <c r="P137" i="17"/>
  <c r="G137" i="17"/>
  <c r="L137" i="17"/>
  <c r="H137" i="17"/>
  <c r="N137" i="17"/>
  <c r="J137" i="17"/>
  <c r="O137" i="17"/>
  <c r="I145" i="17"/>
  <c r="M145" i="17"/>
  <c r="Q145" i="17"/>
  <c r="F145" i="17"/>
  <c r="K145" i="17"/>
  <c r="P145" i="17"/>
  <c r="G145" i="17"/>
  <c r="L145" i="17"/>
  <c r="H145" i="17"/>
  <c r="N145" i="17"/>
  <c r="O145" i="17"/>
  <c r="J145" i="17"/>
  <c r="R116" i="17"/>
  <c r="S111" i="17"/>
  <c r="S116" i="17" s="1"/>
  <c r="R26" i="18"/>
  <c r="R33" i="18" s="1"/>
  <c r="R35" i="18" s="1"/>
  <c r="R221" i="18"/>
  <c r="P25" i="17"/>
  <c r="Q25" i="17"/>
  <c r="J132" i="17"/>
  <c r="N132" i="17"/>
  <c r="F132" i="17"/>
  <c r="K132" i="17"/>
  <c r="P132" i="17"/>
  <c r="G132" i="17"/>
  <c r="L132" i="17"/>
  <c r="Q132" i="17"/>
  <c r="H132" i="17"/>
  <c r="M132" i="17"/>
  <c r="I132" i="17"/>
  <c r="O132" i="17"/>
  <c r="E148" i="17"/>
  <c r="E26" i="17" s="1"/>
  <c r="M25" i="17"/>
  <c r="G144" i="17"/>
  <c r="K144" i="17"/>
  <c r="O144" i="17"/>
  <c r="I144" i="17"/>
  <c r="N144" i="17"/>
  <c r="J144" i="17"/>
  <c r="P144" i="17"/>
  <c r="F144" i="17"/>
  <c r="L144" i="17"/>
  <c r="Q144" i="17"/>
  <c r="H144" i="17"/>
  <c r="M144" i="17"/>
  <c r="G146" i="17"/>
  <c r="K146" i="17"/>
  <c r="O146" i="17"/>
  <c r="H146" i="17"/>
  <c r="M146" i="17"/>
  <c r="I146" i="17"/>
  <c r="N146" i="17"/>
  <c r="J146" i="17"/>
  <c r="P146" i="17"/>
  <c r="F146" i="17"/>
  <c r="L146" i="17"/>
  <c r="Q146" i="17"/>
  <c r="S26" i="18"/>
  <c r="S33" i="18" s="1"/>
  <c r="S35" i="18" s="1"/>
  <c r="S221" i="18"/>
  <c r="R100" i="17"/>
  <c r="S95" i="17"/>
  <c r="S100" i="17" s="1"/>
  <c r="I114" i="14"/>
  <c r="I22" i="19" s="1"/>
  <c r="G28" i="19"/>
  <c r="G30" i="19" s="1"/>
  <c r="G197" i="14" s="1"/>
  <c r="S123" i="17" l="1"/>
  <c r="S25" i="17" s="1"/>
  <c r="E192" i="14"/>
  <c r="E28" i="19"/>
  <c r="H231" i="17" s="1"/>
  <c r="H232" i="17" s="1"/>
  <c r="R123" i="17"/>
  <c r="R25" i="17" s="1"/>
  <c r="P148" i="17"/>
  <c r="P26" i="17" s="1"/>
  <c r="P33" i="17" s="1"/>
  <c r="P35" i="17" s="1"/>
  <c r="J49" i="18"/>
  <c r="K11" i="18"/>
  <c r="J91" i="18"/>
  <c r="J129" i="18" s="1"/>
  <c r="J149" i="18"/>
  <c r="H148" i="17"/>
  <c r="M148" i="18"/>
  <c r="N10" i="18"/>
  <c r="M90" i="18"/>
  <c r="M128" i="18" s="1"/>
  <c r="M48" i="18"/>
  <c r="R144" i="17"/>
  <c r="S144" i="17" s="1"/>
  <c r="O148" i="17"/>
  <c r="Q148" i="17"/>
  <c r="K148" i="17"/>
  <c r="I28" i="19"/>
  <c r="I30" i="19" s="1"/>
  <c r="I197" i="14" s="1"/>
  <c r="N90" i="17"/>
  <c r="N128" i="17" s="1"/>
  <c r="N48" i="17"/>
  <c r="N153" i="17"/>
  <c r="O10" i="17"/>
  <c r="R141" i="17"/>
  <c r="S141" i="17" s="1"/>
  <c r="J148" i="17"/>
  <c r="R146" i="17"/>
  <c r="S146" i="17" s="1"/>
  <c r="I148" i="17"/>
  <c r="L148" i="17"/>
  <c r="F148" i="17"/>
  <c r="F26" i="17" s="1"/>
  <c r="R132" i="17"/>
  <c r="R145" i="17"/>
  <c r="S145" i="17" s="1"/>
  <c r="I192" i="14"/>
  <c r="I196" i="14" s="1"/>
  <c r="L11" i="17"/>
  <c r="K154" i="17"/>
  <c r="K49" i="17"/>
  <c r="K91" i="17"/>
  <c r="K129" i="17" s="1"/>
  <c r="R142" i="17"/>
  <c r="S142" i="17" s="1"/>
  <c r="E33" i="17"/>
  <c r="E35" i="17" s="1"/>
  <c r="R135" i="17"/>
  <c r="S135" i="17" s="1"/>
  <c r="M148" i="17"/>
  <c r="G148" i="17"/>
  <c r="N148" i="17"/>
  <c r="R137" i="17"/>
  <c r="S137" i="17" s="1"/>
  <c r="R133" i="17"/>
  <c r="S133" i="17" s="1"/>
  <c r="F25" i="17"/>
  <c r="R136" i="17"/>
  <c r="S136" i="17" s="1"/>
  <c r="E225" i="17"/>
  <c r="R143" i="17"/>
  <c r="S143" i="17" s="1"/>
  <c r="R134" i="17"/>
  <c r="S134" i="17" s="1"/>
  <c r="G231" i="17" l="1"/>
  <c r="G232" i="17" s="1"/>
  <c r="E196" i="14"/>
  <c r="F7" i="17"/>
  <c r="G7" i="17" s="1"/>
  <c r="E231" i="17"/>
  <c r="E232" i="17" s="1"/>
  <c r="E30" i="19"/>
  <c r="F33" i="17"/>
  <c r="F35" i="17" s="1"/>
  <c r="F43" i="17" s="1"/>
  <c r="G14" i="17" s="1"/>
  <c r="F225" i="17"/>
  <c r="P225" i="17"/>
  <c r="K149" i="18"/>
  <c r="K49" i="18"/>
  <c r="L11" i="18"/>
  <c r="K91" i="18"/>
  <c r="K129" i="18" s="1"/>
  <c r="O10" i="18"/>
  <c r="N148" i="18"/>
  <c r="N90" i="18"/>
  <c r="N128" i="18" s="1"/>
  <c r="N48" i="18"/>
  <c r="J26" i="17"/>
  <c r="J33" i="17" s="1"/>
  <c r="J35" i="17" s="1"/>
  <c r="J225" i="17"/>
  <c r="K26" i="17"/>
  <c r="K33" i="17" s="1"/>
  <c r="K35" i="17" s="1"/>
  <c r="K225" i="17"/>
  <c r="L26" i="17"/>
  <c r="L33" i="17" s="1"/>
  <c r="L35" i="17" s="1"/>
  <c r="L225" i="17"/>
  <c r="P10" i="17"/>
  <c r="O48" i="17"/>
  <c r="O153" i="17"/>
  <c r="O90" i="17"/>
  <c r="O128" i="17" s="1"/>
  <c r="Q26" i="17"/>
  <c r="Q33" i="17" s="1"/>
  <c r="Q35" i="17" s="1"/>
  <c r="Q225" i="17"/>
  <c r="M26" i="17"/>
  <c r="M33" i="17" s="1"/>
  <c r="M35" i="17" s="1"/>
  <c r="M225" i="17"/>
  <c r="R148" i="17"/>
  <c r="S132" i="17"/>
  <c r="S148" i="17" s="1"/>
  <c r="N26" i="17"/>
  <c r="N33" i="17" s="1"/>
  <c r="N35" i="17" s="1"/>
  <c r="N225" i="17"/>
  <c r="G26" i="17"/>
  <c r="G33" i="17" s="1"/>
  <c r="G35" i="17" s="1"/>
  <c r="G225" i="17"/>
  <c r="L91" i="17"/>
  <c r="L129" i="17" s="1"/>
  <c r="L49" i="17"/>
  <c r="L154" i="17"/>
  <c r="M11" i="17"/>
  <c r="I26" i="17"/>
  <c r="I33" i="17" s="1"/>
  <c r="I35" i="17" s="1"/>
  <c r="I225" i="17"/>
  <c r="O26" i="17"/>
  <c r="O33" i="17" s="1"/>
  <c r="O35" i="17" s="1"/>
  <c r="O225" i="17"/>
  <c r="H26" i="17"/>
  <c r="H33" i="17" s="1"/>
  <c r="H35" i="17" s="1"/>
  <c r="H225" i="17"/>
  <c r="E32" i="19" l="1"/>
  <c r="F13" i="19" s="1"/>
  <c r="F32" i="19" s="1"/>
  <c r="G13" i="19" s="1"/>
  <c r="G32" i="19" s="1"/>
  <c r="H13" i="19" s="1"/>
  <c r="H32" i="19" s="1"/>
  <c r="I13" i="19" s="1"/>
  <c r="I32" i="19" s="1"/>
  <c r="E197" i="14"/>
  <c r="G43" i="17"/>
  <c r="H14" i="17" s="1"/>
  <c r="H43" i="17" s="1"/>
  <c r="I14" i="17" s="1"/>
  <c r="I43" i="17" s="1"/>
  <c r="J14" i="17" s="1"/>
  <c r="J43" i="17" s="1"/>
  <c r="K14" i="17" s="1"/>
  <c r="K43" i="17" s="1"/>
  <c r="L14" i="17" s="1"/>
  <c r="L43" i="17" s="1"/>
  <c r="M14" i="17" s="1"/>
  <c r="M43" i="17" s="1"/>
  <c r="N14" i="17" s="1"/>
  <c r="N43" i="17" s="1"/>
  <c r="O14" i="17" s="1"/>
  <c r="O43" i="17" s="1"/>
  <c r="P14" i="17" s="1"/>
  <c r="P43" i="17" s="1"/>
  <c r="Q14" i="17" s="1"/>
  <c r="Q43" i="17" s="1"/>
  <c r="L91" i="18"/>
  <c r="L129" i="18" s="1"/>
  <c r="M11" i="18"/>
  <c r="L49" i="18"/>
  <c r="L149" i="18"/>
  <c r="N11" i="17"/>
  <c r="M49" i="17"/>
  <c r="M154" i="17"/>
  <c r="M91" i="17"/>
  <c r="M129" i="17" s="1"/>
  <c r="S26" i="17"/>
  <c r="S33" i="17" s="1"/>
  <c r="S35" i="17" s="1"/>
  <c r="S225" i="17"/>
  <c r="R26" i="17"/>
  <c r="R33" i="17" s="1"/>
  <c r="R35" i="17" s="1"/>
  <c r="R225" i="17"/>
  <c r="P90" i="17"/>
  <c r="P128" i="17" s="1"/>
  <c r="P48" i="17"/>
  <c r="Q10" i="17"/>
  <c r="P153" i="17"/>
  <c r="P10" i="18"/>
  <c r="O148" i="18"/>
  <c r="O48" i="18"/>
  <c r="O90" i="18"/>
  <c r="O128" i="18" s="1"/>
  <c r="M149" i="18" l="1"/>
  <c r="M49" i="18"/>
  <c r="N11" i="18"/>
  <c r="M91" i="18"/>
  <c r="M129" i="18" s="1"/>
  <c r="P148" i="18"/>
  <c r="Q10" i="18"/>
  <c r="P90" i="18"/>
  <c r="P128" i="18" s="1"/>
  <c r="P48" i="18"/>
  <c r="N91" i="17"/>
  <c r="N129" i="17" s="1"/>
  <c r="N49" i="17"/>
  <c r="N154" i="17"/>
  <c r="O11" i="17"/>
  <c r="R10" i="17"/>
  <c r="Q153" i="17"/>
  <c r="Q90" i="17"/>
  <c r="Q128" i="17" s="1"/>
  <c r="Q48" i="17"/>
  <c r="N91" i="18" l="1"/>
  <c r="N129" i="18" s="1"/>
  <c r="N49" i="18"/>
  <c r="O11" i="18"/>
  <c r="N149" i="18"/>
  <c r="P11" i="17"/>
  <c r="O154" i="17"/>
  <c r="O91" i="17"/>
  <c r="O129" i="17" s="1"/>
  <c r="O49" i="17"/>
  <c r="Q148" i="18"/>
  <c r="Q90" i="18"/>
  <c r="Q128" i="18" s="1"/>
  <c r="R10" i="18"/>
  <c r="Q48" i="18"/>
  <c r="R90" i="17"/>
  <c r="R128" i="17" s="1"/>
  <c r="R48" i="17"/>
  <c r="R153" i="17"/>
  <c r="S10" i="17"/>
  <c r="O149" i="18" l="1"/>
  <c r="O49" i="18"/>
  <c r="P11" i="18"/>
  <c r="O91" i="18"/>
  <c r="O129" i="18" s="1"/>
  <c r="S48" i="17"/>
  <c r="S90" i="17"/>
  <c r="S128" i="17" s="1"/>
  <c r="S153" i="17"/>
  <c r="S10" i="18"/>
  <c r="R148" i="18"/>
  <c r="R90" i="18"/>
  <c r="R128" i="18" s="1"/>
  <c r="R48" i="18"/>
  <c r="P91" i="17"/>
  <c r="P129" i="17" s="1"/>
  <c r="P49" i="17"/>
  <c r="P154" i="17"/>
  <c r="Q11" i="17"/>
  <c r="Q11" i="18" l="1"/>
  <c r="P149" i="18"/>
  <c r="P49" i="18"/>
  <c r="P91" i="18"/>
  <c r="P129" i="18" s="1"/>
  <c r="S148" i="18"/>
  <c r="S48" i="18"/>
  <c r="S90" i="18"/>
  <c r="S128" i="18" s="1"/>
  <c r="R11" i="17"/>
  <c r="Q49" i="17"/>
  <c r="Q91" i="17"/>
  <c r="Q129" i="17" s="1"/>
  <c r="Q154" i="17"/>
  <c r="Q91" i="18" l="1"/>
  <c r="Q129" i="18" s="1"/>
  <c r="R11" i="18"/>
  <c r="Q149" i="18"/>
  <c r="Q49" i="18"/>
  <c r="R91" i="17"/>
  <c r="R129" i="17" s="1"/>
  <c r="R49" i="17"/>
  <c r="S11" i="17"/>
  <c r="R154" i="17"/>
  <c r="S11" i="18" l="1"/>
  <c r="R49" i="18"/>
  <c r="R91" i="18"/>
  <c r="R129" i="18" s="1"/>
  <c r="R149" i="18"/>
  <c r="S154" i="17"/>
  <c r="S91" i="17"/>
  <c r="S129" i="17" s="1"/>
  <c r="S49" i="17"/>
  <c r="S49" i="18" l="1"/>
  <c r="S91" i="18"/>
  <c r="S129" i="18" s="1"/>
  <c r="S149" i="18"/>
  <c r="C8" i="30" l="1"/>
  <c r="C4"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Fulton Breen</author>
  </authors>
  <commentList>
    <comment ref="B64" authorId="0" shapeId="0" xr:uid="{B34CCCA1-5418-4D43-B207-43D16658739B}">
      <text>
        <r>
          <rPr>
            <b/>
            <sz val="9"/>
            <color indexed="81"/>
            <rFont val="Tahoma"/>
            <family val="2"/>
          </rPr>
          <t>Haslem gifts - spread over 5 years</t>
        </r>
      </text>
    </comment>
    <comment ref="B65" authorId="0" shapeId="0" xr:uid="{EE6DA727-A4A2-4839-9A69-E2713C9EA291}">
      <text>
        <r>
          <rPr>
            <b/>
            <sz val="9"/>
            <color indexed="81"/>
            <rFont val="Tahoma"/>
            <family val="2"/>
          </rPr>
          <t>CSGF start-up donations -- spread over first 3 years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C62" authorId="0" shapeId="0" xr:uid="{00000000-0006-0000-0400-000001000000}">
      <text>
        <r>
          <rPr>
            <sz val="9"/>
            <color rgb="FF000000"/>
            <rFont val="Tahoma"/>
            <family val="2"/>
          </rPr>
          <t>informational purposes only.  Does not drive a calculation in column 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E14" authorId="0" shapeId="0" xr:uid="{00000000-0006-0000-0500-000001000000}">
      <text>
        <r>
          <rPr>
            <b/>
            <sz val="9"/>
            <color indexed="81"/>
            <rFont val="Tahoma"/>
            <family val="2"/>
          </rPr>
          <t>Enter a starting cash amount if applicable</t>
        </r>
        <r>
          <rPr>
            <sz val="9"/>
            <color indexed="81"/>
            <rFont val="Tahoma"/>
            <family val="2"/>
          </rPr>
          <t xml:space="preserve">
</t>
        </r>
      </text>
    </comment>
    <comment ref="B39" authorId="0" shapeId="0" xr:uid="{00000000-0006-0000-0500-000002000000}">
      <text>
        <r>
          <rPr>
            <sz val="9"/>
            <color indexed="81"/>
            <rFont val="Tahoma"/>
            <family val="2"/>
          </rPr>
          <t xml:space="preserve">Should be a positive value
</t>
        </r>
      </text>
    </comment>
    <comment ref="B40" authorId="0" shapeId="0" xr:uid="{00000000-0006-0000-0500-000003000000}">
      <text>
        <r>
          <rPr>
            <sz val="9"/>
            <color indexed="81"/>
            <rFont val="Tahoma"/>
            <family val="2"/>
          </rPr>
          <t>Should be a negative value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B74" authorId="0" shapeId="0" xr:uid="{CBE123F3-0137-4F02-9FEE-8674BC1D339D}">
      <text>
        <r>
          <rPr>
            <sz val="9"/>
            <color indexed="81"/>
            <rFont val="Tahoma"/>
            <family val="2"/>
          </rPr>
          <t xml:space="preserve">Leverage these rows for any additional compensation such as one time stipends, bonuses, and other irregular compensation that is otherwise not driven by FTE counts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C57" authorId="0" shapeId="0" xr:uid="{00000000-0006-0000-0700-000001000000}">
      <text>
        <r>
          <rPr>
            <b/>
            <sz val="9"/>
            <color indexed="81"/>
            <rFont val="Tahoma"/>
            <family val="2"/>
          </rPr>
          <t>This section pulls from the staffing assumptions tab</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B39" authorId="0" shapeId="0" xr:uid="{00000000-0006-0000-0800-000001000000}">
      <text>
        <r>
          <rPr>
            <sz val="9"/>
            <color indexed="81"/>
            <rFont val="Tahoma"/>
            <family val="2"/>
          </rPr>
          <t xml:space="preserve">Should be a positive value
</t>
        </r>
      </text>
    </comment>
    <comment ref="B40" authorId="0" shapeId="0" xr:uid="{00000000-0006-0000-0800-000002000000}">
      <text>
        <r>
          <rPr>
            <sz val="9"/>
            <color indexed="81"/>
            <rFont val="Tahoma"/>
            <family val="2"/>
          </rPr>
          <t>Should be a negative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tc={E170A359-319F-427F-BBBE-5B0204B19EB1}</author>
    <author>Fulton Breen</author>
  </authors>
  <commentList>
    <comment ref="B9" authorId="0" shapeId="0" xr:uid="{E170A359-319F-427F-BBBE-5B0204B19EB1}">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@Brytain Tate this enrollment tab needs to bring in Chatt-2 into the formulas. Please also delete rows for Grades PK-5th throughout the model.
Reply:
    Done
</t>
        </r>
      </text>
    </comment>
    <comment ref="H29" authorId="1" shapeId="0" xr:uid="{78F201E1-FB93-4E59-842E-7D6868A9AD68}">
      <text>
        <r>
          <rPr>
            <sz val="9"/>
            <color indexed="81"/>
            <rFont val="Tahoma"/>
            <family val="2"/>
          </rPr>
          <t xml:space="preserve">
high school enrollment of 123 for SY22-23</t>
        </r>
      </text>
    </comment>
    <comment ref="N32" authorId="1" shapeId="0" xr:uid="{FE2DED4B-9616-4DC4-8142-14CE5B14FBAC}">
      <text>
        <r>
          <rPr>
            <sz val="9"/>
            <color indexed="81"/>
            <rFont val="Tahoma"/>
            <family val="2"/>
          </rPr>
          <t xml:space="preserve">
build out path to 700 by SY29-30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tc={C56318AF-9178-42FD-930C-90B7869A6B0E}</author>
    <author>tc={F7E5ED07-57AD-426C-A773-C9EFDBDE8A77}</author>
  </authors>
  <commentList>
    <comment ref="N31" authorId="0" shapeId="0" xr:uid="{C56318AF-9178-42FD-930C-90B7869A6B0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Based on FY2020 CDF at 16% of original value ($42M total):
MNPS: $14.3M ($180 per pupil)
SCS: $14.1M ($130 per pupil)
If at 100% value using FY2020 CDF:
MNPS = ~$1100 pp, SCS = ~$780 pp</t>
        </r>
      </text>
    </comment>
    <comment ref="X31" authorId="1" shapeId="0" xr:uid="{F7E5ED07-57AD-426C-A773-C9EFDBDE8A7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Based on FY2020 CDF at 16% of original value ($42M total):
MNPS: $14.3M ($180 pp)
SCS: $14.1M ($130 pp)
If at 100% value using FY2020 CDF:
MNPS = ~$1100 pp, SCS = ~$780 pp</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tc={904E36CD-4D5D-4254-80CA-AE649DD03283}</author>
    <author>tc={EC893BF7-2CDB-4F13-BDBE-B1F06E64DAFA}</author>
  </authors>
  <commentList>
    <comment ref="N31" authorId="0" shapeId="0" xr:uid="{904E36CD-4D5D-4254-80CA-AE649DD0328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Based on FY2020 CDF at 16% of original value ($42M total):
MNPS: $14.3M ($180 per pupil)
SCS: $14.1M ($130 per pupil)
If at 100% value using FY2020 CDF:
MNPS = ~$1100 pp, SCS = ~$780 pp</t>
        </r>
      </text>
    </comment>
    <comment ref="X31" authorId="1" shapeId="0" xr:uid="{EC893BF7-2CDB-4F13-BDBE-B1F06E64DAF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Based on FY2020 CDF at 16% of original value ($42M total):
MNPS: $14.3M ($180 pp)
SCS: $14.1M ($130 pp)
If at 100% value using FY2020 CDF:
MNPS = ~$1100 pp, SCS = ~$780 pp</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tc={02717CE3-0F3E-4A2F-8CC8-775E12C7E139}</author>
    <author>tc={C7077082-0273-4ADC-830E-CDB2D43B3E5A}</author>
  </authors>
  <commentList>
    <comment ref="N31" authorId="0" shapeId="0" xr:uid="{02717CE3-0F3E-4A2F-8CC8-775E12C7E13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Based on FY2020 CDF at 16% of original value ($42M total):
MNPS: $14.3M ($180 per pupil)
SCS: $14.1M ($130 per pupil)
If at 100% value using FY2020 CDF:
MNPS = ~$1100 pp, SCS = ~$780 pp</t>
        </r>
      </text>
    </comment>
    <comment ref="X31" authorId="1" shapeId="0" xr:uid="{C7077082-0273-4ADC-830E-CDB2D43B3E5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Based on FY2020 CDF at 16% of original value ($42M total):
MNPS: $14.3M ($180 pp)
SCS: $14.1M ($130 pp)
If at 100% value using FY2020 CDF:
MNPS = ~$1100 pp, SCS = ~$780 pp</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Fulton Breen</author>
    <author>tc={8D40B47E-F6A1-4666-B0F8-780A303ABAC6}</author>
  </authors>
  <commentList>
    <comment ref="H17" authorId="0" shapeId="0" xr:uid="{EF77C58D-259B-496B-9C44-B1CD2EA2A924}">
      <text>
        <r>
          <rPr>
            <b/>
            <sz val="9"/>
            <color indexed="81"/>
            <rFont val="Tahoma"/>
            <family val="2"/>
          </rPr>
          <t>from TISA calculator, downloaded in October 2022</t>
        </r>
      </text>
    </comment>
    <comment ref="B83" authorId="1" shapeId="0" xr:uid="{8D40B47E-F6A1-4666-B0F8-780A303ABAC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@Brytain Tate I am switching two Facility Inputs (Utilities and Rent) to be a total "per facility" costs instead of per pupil, because these costs will stay relatively fixed regardless of pupil count.</t>
        </r>
      </text>
    </comment>
    <comment ref="V85" authorId="0" shapeId="0" xr:uid="{777C979B-D0D9-4B77-B968-2854EFC3D22C}">
      <text>
        <r>
          <rPr>
            <b/>
            <sz val="9"/>
            <color indexed="81"/>
            <rFont val="Tahoma"/>
            <family val="2"/>
          </rPr>
          <t>implied from FY23 Chatt-1 budget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Brytain Tate</author>
  </authors>
  <commentList>
    <comment ref="H27" authorId="0" shapeId="0" xr:uid="{C5FA63B9-97D0-48A6-9276-CB19A0552E0C}">
      <text>
        <r>
          <rPr>
            <b/>
            <sz val="9"/>
            <color indexed="81"/>
            <rFont val="Tahoma"/>
            <family val="2"/>
          </rPr>
          <t>Brytain Tate:</t>
        </r>
        <r>
          <rPr>
            <sz val="9"/>
            <color indexed="81"/>
            <rFont val="Tahoma"/>
            <family val="2"/>
          </rPr>
          <t xml:space="preserve">
Local Extra per pupil derived from TISA Calculator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Brytain Tate</author>
  </authors>
  <commentList>
    <comment ref="H25" authorId="0" shapeId="0" xr:uid="{82E86350-9236-4C88-A1F9-0318ECB1521C}">
      <text>
        <r>
          <rPr>
            <b/>
            <sz val="9"/>
            <color indexed="81"/>
            <rFont val="Tahoma"/>
            <family val="2"/>
          </rPr>
          <t>Brytain Tate:</t>
        </r>
        <r>
          <rPr>
            <sz val="9"/>
            <color indexed="81"/>
            <rFont val="Tahoma"/>
            <family val="2"/>
          </rPr>
          <t xml:space="preserve">
Local Extra per pupil derived from TISA Calculator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C29" authorId="0" shapeId="0" xr:uid="{00000000-0006-0000-0100-000001000000}">
      <text>
        <r>
          <rPr>
            <sz val="9"/>
            <color indexed="81"/>
            <rFont val="Tahoma"/>
            <family val="2"/>
          </rPr>
          <t xml:space="preserve">Additional instructions or guidance
</t>
        </r>
      </text>
    </comment>
  </commentList>
</comments>
</file>

<file path=xl/sharedStrings.xml><?xml version="1.0" encoding="utf-8"?>
<sst xmlns="http://schemas.openxmlformats.org/spreadsheetml/2006/main" count="2376" uniqueCount="835">
  <si>
    <t>Select Year</t>
  </si>
  <si>
    <t>2021-22</t>
  </si>
  <si>
    <t>2022-23</t>
  </si>
  <si>
    <t>2023-24</t>
  </si>
  <si>
    <t>2024-25</t>
  </si>
  <si>
    <t>2025-26</t>
  </si>
  <si>
    <t>2026-27</t>
  </si>
  <si>
    <t>2027-28</t>
  </si>
  <si>
    <t>2028-29</t>
  </si>
  <si>
    <t>2029-30</t>
  </si>
  <si>
    <t>2030-31</t>
  </si>
  <si>
    <t>2031-32</t>
  </si>
  <si>
    <t>2020-21</t>
  </si>
  <si>
    <t>2032-33</t>
  </si>
  <si>
    <t>New Charter School Application Budget Template</t>
  </si>
  <si>
    <t>Instructions</t>
  </si>
  <si>
    <t>Template Tabs</t>
  </si>
  <si>
    <t>1) Proposed School Information</t>
  </si>
  <si>
    <t>Enter proposed school name, contact information, and proposed year of opening</t>
  </si>
  <si>
    <t>2) Student Assumptions</t>
  </si>
  <si>
    <t>Enter enrollment and key student demographic information assumptions</t>
  </si>
  <si>
    <t>3) Pre-Opening Budget</t>
  </si>
  <si>
    <t>Enter budget details and assumptions for 12 month period prior to Year 1</t>
  </si>
  <si>
    <t>4) Pre-Opening Cash Flow</t>
  </si>
  <si>
    <t>Enter cash flow details and assumptions for 12 month period prior to Year 1</t>
  </si>
  <si>
    <t>5) Years 1-5 Staff Assumptions</t>
  </si>
  <si>
    <t>Enter staffing assumptions; assumptions will drive over tabs</t>
  </si>
  <si>
    <t>6) Year 1 Budget</t>
  </si>
  <si>
    <t>Enter budget details and assumptions for Year 1</t>
  </si>
  <si>
    <t>7) Year 1 Cash Flow</t>
  </si>
  <si>
    <t>Enter cash flow details and assumptions for Year 1 (July to June 12 month period)</t>
  </si>
  <si>
    <t>8) Years 2 through 5 Budget</t>
  </si>
  <si>
    <t>Enter budget details and assumptions for Years 2 through 5</t>
  </si>
  <si>
    <t>9) Summary</t>
  </si>
  <si>
    <t>Informational; enter a starting fund balance if applicable</t>
  </si>
  <si>
    <t>Template  Guidance</t>
  </si>
  <si>
    <t>Input financial information into light yellow cells</t>
  </si>
  <si>
    <t>Input assumption information or notes into light green cells</t>
  </si>
  <si>
    <t>Provides additional information or instruction for specific tab or section of tab</t>
  </si>
  <si>
    <t>Cells with red comment tag include additional guidance and instruction</t>
  </si>
  <si>
    <t>Note:  This is not a budgeting tool, but rather a standardized format for sharing key budget information for the proposed charter school.  You may add additional worksheets to this workbook to otherwise supplement the information being provided on the existing worksheets.</t>
  </si>
  <si>
    <t xml:space="preserve">Developed in partnership with </t>
  </si>
  <si>
    <t>Year 1</t>
  </si>
  <si>
    <t>Year 2</t>
  </si>
  <si>
    <t>Year 3</t>
  </si>
  <si>
    <t>Year 4</t>
  </si>
  <si>
    <t>Year 5</t>
  </si>
  <si>
    <t>Student Assumptions</t>
  </si>
  <si>
    <t>Enrollment Assumptions</t>
  </si>
  <si>
    <t>Pre-Kindergarten (Informational Only)</t>
  </si>
  <si>
    <t>Kindergarten</t>
  </si>
  <si>
    <t>1st Grade</t>
  </si>
  <si>
    <t>2nd Grade</t>
  </si>
  <si>
    <t>3rd Grade</t>
  </si>
  <si>
    <t>4th Grade</t>
  </si>
  <si>
    <t>5th Grade</t>
  </si>
  <si>
    <t>6th Grade</t>
  </si>
  <si>
    <t>7th Grade</t>
  </si>
  <si>
    <t>8th Grade</t>
  </si>
  <si>
    <t>9th Grade</t>
  </si>
  <si>
    <t>10th Grade</t>
  </si>
  <si>
    <t>11th Grade</t>
  </si>
  <si>
    <t>12th Grade</t>
  </si>
  <si>
    <t>Total Enrollment (excluding Pre-Kindergarten)</t>
  </si>
  <si>
    <t>Change in Net Enrollment</t>
  </si>
  <si>
    <t># of Classes By Grade</t>
  </si>
  <si>
    <t>Total # of Classes</t>
  </si>
  <si>
    <t>Change in Net # of Classes</t>
  </si>
  <si>
    <t>Other Key Assumptions</t>
  </si>
  <si>
    <t>Enter Estimated Percentages</t>
  </si>
  <si>
    <t>SPED %</t>
  </si>
  <si>
    <t>SPED Count</t>
  </si>
  <si>
    <t>ELL %</t>
  </si>
  <si>
    <t>ELL Count</t>
  </si>
  <si>
    <t>Anticipated Paid %</t>
  </si>
  <si>
    <t>Anticipated Reduced %</t>
  </si>
  <si>
    <t>Anticipated Free %</t>
  </si>
  <si>
    <t>Anticipated Paid Count</t>
  </si>
  <si>
    <t>Anticipated Reduced Count</t>
  </si>
  <si>
    <t>Anticipated Free Count</t>
  </si>
  <si>
    <t>Total Free and Reduced Count</t>
  </si>
  <si>
    <t>School Days</t>
  </si>
  <si>
    <t>Attendance Rate</t>
  </si>
  <si>
    <t>Pre-Opening Budget</t>
  </si>
  <si>
    <t>Revenue Assumptions</t>
  </si>
  <si>
    <t>Year 0</t>
  </si>
  <si>
    <t>Annual Revenue Increase</t>
  </si>
  <si>
    <t>Cumultative Increase</t>
  </si>
  <si>
    <t>Federal Revenues</t>
  </si>
  <si>
    <t>Rate/Assumption</t>
  </si>
  <si>
    <t>Amount</t>
  </si>
  <si>
    <t>Assumption Notes</t>
  </si>
  <si>
    <t>State Revenues</t>
  </si>
  <si>
    <t xml:space="preserve">Basic Education Program </t>
  </si>
  <si>
    <t>BEP Transportation Component</t>
  </si>
  <si>
    <t>BEP Capital Outlay</t>
  </si>
  <si>
    <t>Other</t>
  </si>
  <si>
    <t>Title I</t>
  </si>
  <si>
    <t>Title II</t>
  </si>
  <si>
    <t>Title III</t>
  </si>
  <si>
    <t>NSLP</t>
  </si>
  <si>
    <t>E-Rate</t>
  </si>
  <si>
    <t>CSP Startup Grant</t>
  </si>
  <si>
    <t>School Activity Revenues</t>
  </si>
  <si>
    <t>Fundraising &amp; Philanthropy</t>
  </si>
  <si>
    <t>Detail any private funding sources</t>
  </si>
  <si>
    <t>Total Revenues</t>
  </si>
  <si>
    <t>Additional Space to Provide Fundraising Details</t>
  </si>
  <si>
    <t>Compensation Assumptions</t>
  </si>
  <si>
    <t>FTE Count</t>
  </si>
  <si>
    <t>Principal/School Leader</t>
  </si>
  <si>
    <t>Assistant Principal</t>
  </si>
  <si>
    <t>Special Education Coordinator</t>
  </si>
  <si>
    <t>Deans, Directors</t>
  </si>
  <si>
    <t>Other (Specify in Assumptions)</t>
  </si>
  <si>
    <t>Teachers</t>
  </si>
  <si>
    <t>Special Education Teachers</t>
  </si>
  <si>
    <t>Eduacational Assistants/Aides</t>
  </si>
  <si>
    <t>Elective Teachers</t>
  </si>
  <si>
    <t>Clerical Staff</t>
  </si>
  <si>
    <t>Custodial Staff</t>
  </si>
  <si>
    <t>Operations</t>
  </si>
  <si>
    <t>Social Workers/Counseling</t>
  </si>
  <si>
    <t>Bonus</t>
  </si>
  <si>
    <t>Other Non FTE Compensation</t>
  </si>
  <si>
    <t>Total FTE Count</t>
  </si>
  <si>
    <t>Employer Benefits &amp; Tax Assumptions</t>
  </si>
  <si>
    <t>Base Assumption</t>
  </si>
  <si>
    <t>$400 per employee</t>
  </si>
  <si>
    <t>Total Employer Benefits &amp; Taxes</t>
  </si>
  <si>
    <t>Operating Expenses</t>
  </si>
  <si>
    <t>Annual Expense Increase</t>
  </si>
  <si>
    <t>Contracted Services</t>
  </si>
  <si>
    <t>Professional Development</t>
  </si>
  <si>
    <t>Financial Services</t>
  </si>
  <si>
    <t>Audit Services</t>
  </si>
  <si>
    <t>Legal Fees</t>
  </si>
  <si>
    <t>Copier Lease and Usage</t>
  </si>
  <si>
    <t>Internet and Phone Service</t>
  </si>
  <si>
    <t>Cell Phone Service</t>
  </si>
  <si>
    <t>Payroll Services</t>
  </si>
  <si>
    <t>Health Services</t>
  </si>
  <si>
    <t>Transportation</t>
  </si>
  <si>
    <t>IT Services</t>
  </si>
  <si>
    <t>Contracted SPED Services</t>
  </si>
  <si>
    <t>Insurance</t>
  </si>
  <si>
    <t>Postal Charges</t>
  </si>
  <si>
    <t>Bank Charges</t>
  </si>
  <si>
    <t>Supplies &amp; Materials</t>
  </si>
  <si>
    <t>Textbooks and Instructional Supplies</t>
  </si>
  <si>
    <t>Education Software</t>
  </si>
  <si>
    <t>Student Supplies</t>
  </si>
  <si>
    <t>Faculty Supplies</t>
  </si>
  <si>
    <t>Library Books</t>
  </si>
  <si>
    <t>Testing &amp; Evaluation</t>
  </si>
  <si>
    <t>Student Laptops</t>
  </si>
  <si>
    <t>Faculty Laptops</t>
  </si>
  <si>
    <t>Office Supplies</t>
  </si>
  <si>
    <t>Printing Paper</t>
  </si>
  <si>
    <t>Marketing Materials</t>
  </si>
  <si>
    <t>Student Uniforms</t>
  </si>
  <si>
    <t>Gifts &amp; Awards - Students</t>
  </si>
  <si>
    <t>Gifts &amp; Awards - Teachers and Staff</t>
  </si>
  <si>
    <t>Health Supplies</t>
  </si>
  <si>
    <t>Facility Related Expenses</t>
  </si>
  <si>
    <t>Rent</t>
  </si>
  <si>
    <t>Utilities</t>
  </si>
  <si>
    <t xml:space="preserve">Custodial </t>
  </si>
  <si>
    <t>Waste</t>
  </si>
  <si>
    <t>Faculty Furniture</t>
  </si>
  <si>
    <t>Student Furniture</t>
  </si>
  <si>
    <t>Internet/Network Equipment</t>
  </si>
  <si>
    <t>Other Equipment</t>
  </si>
  <si>
    <t>Building Decorum</t>
  </si>
  <si>
    <t>Tenant Improvements</t>
  </si>
  <si>
    <t>Other Charges</t>
  </si>
  <si>
    <t>Staff Recruitment</t>
  </si>
  <si>
    <t>Student Recruitment &amp; Community Engagement</t>
  </si>
  <si>
    <t>Parent &amp; Staff Meetings</t>
  </si>
  <si>
    <t>Authorizer Fee</t>
  </si>
  <si>
    <t>Debt Service</t>
  </si>
  <si>
    <t>Total Operating Expenses</t>
  </si>
  <si>
    <t>Total Expenses</t>
  </si>
  <si>
    <t>Pre-Opening Cash Flow</t>
  </si>
  <si>
    <t>Cash Flow Summary</t>
  </si>
  <si>
    <t>Total Budget</t>
  </si>
  <si>
    <t>July</t>
  </si>
  <si>
    <t>August</t>
  </si>
  <si>
    <t>September</t>
  </si>
  <si>
    <t>October</t>
  </si>
  <si>
    <t>November</t>
  </si>
  <si>
    <t>December</t>
  </si>
  <si>
    <t>January</t>
  </si>
  <si>
    <t>February</t>
  </si>
  <si>
    <t>March</t>
  </si>
  <si>
    <t>April</t>
  </si>
  <si>
    <t>May</t>
  </si>
  <si>
    <t>June</t>
  </si>
  <si>
    <t>Total</t>
  </si>
  <si>
    <t>AR/AP</t>
  </si>
  <si>
    <t>Beginning Cash</t>
  </si>
  <si>
    <t>Revenues</t>
  </si>
  <si>
    <t>Expenses</t>
  </si>
  <si>
    <t>Staffing</t>
  </si>
  <si>
    <t>Employer Benefits &amp; Taxes</t>
  </si>
  <si>
    <t>Facility-Related Expenses</t>
  </si>
  <si>
    <t>Operating Income (Loss)</t>
  </si>
  <si>
    <t>Changes in Accounts Receivable</t>
  </si>
  <si>
    <t>Changes in Accounts Payable</t>
  </si>
  <si>
    <t>Line of Credit Proceeds</t>
  </si>
  <si>
    <t>Line of Credit Repayments</t>
  </si>
  <si>
    <t>Other Balance Sheet Activity</t>
  </si>
  <si>
    <t>Ending Cash</t>
  </si>
  <si>
    <t>Details of Cash Flow</t>
  </si>
  <si>
    <t>Compensation</t>
  </si>
  <si>
    <t>Year 1-5 Staff Assumptions</t>
  </si>
  <si>
    <t>FTE Assumptions</t>
  </si>
  <si>
    <t>Fiscal Year</t>
  </si>
  <si>
    <t>Enrollment</t>
  </si>
  <si>
    <t># of Classes</t>
  </si>
  <si>
    <t>Total Administrative FTE</t>
  </si>
  <si>
    <t>Total Instructional FTE</t>
  </si>
  <si>
    <t>Total Non-Instructional  FTE</t>
  </si>
  <si>
    <t>Total FTE</t>
  </si>
  <si>
    <t>Annual Increase</t>
  </si>
  <si>
    <t>Administrative Staff</t>
  </si>
  <si>
    <t>Total Administrative Compensation</t>
  </si>
  <si>
    <t>Instructional Staff</t>
  </si>
  <si>
    <t>Total Instructional Compensation</t>
  </si>
  <si>
    <t>Non-Instructional Staff</t>
  </si>
  <si>
    <t>Total Non-Instructional  Compensation</t>
  </si>
  <si>
    <t>Total Compensation</t>
  </si>
  <si>
    <t xml:space="preserve">Social Security </t>
  </si>
  <si>
    <t>Medicare</t>
  </si>
  <si>
    <t>State Unemployment</t>
  </si>
  <si>
    <t>Disability/Life Insurance</t>
  </si>
  <si>
    <t>Workers Compensation Insurance</t>
  </si>
  <si>
    <t>Other Fringe Benefits</t>
  </si>
  <si>
    <t>Health Insurance Annual Increase</t>
  </si>
  <si>
    <t>Medical Insurance</t>
  </si>
  <si>
    <t>Dental Insurance</t>
  </si>
  <si>
    <t>Vision Insurance</t>
  </si>
  <si>
    <t>TCRS Certified Legacy</t>
  </si>
  <si>
    <t>TCRS Certified Hybrid</t>
  </si>
  <si>
    <t>TCRS Classified Legacy</t>
  </si>
  <si>
    <t>TCRS Classified Hybrid</t>
  </si>
  <si>
    <t>Other Classified Retirement</t>
  </si>
  <si>
    <t>Other Retirement</t>
  </si>
  <si>
    <t>Year 1 Budget</t>
  </si>
  <si>
    <t>Year 1 Cash Flow</t>
  </si>
  <si>
    <t>Year 2 Through 5 Budget</t>
  </si>
  <si>
    <t>Assumption</t>
  </si>
  <si>
    <t>Year 0 &amp; Years 1 through 5 Summary</t>
  </si>
  <si>
    <t>Starting Fund Balance</t>
  </si>
  <si>
    <t>Net Income</t>
  </si>
  <si>
    <t>Ending Fund Balance</t>
  </si>
  <si>
    <t>TISA Weights</t>
  </si>
  <si>
    <t>TISA Direct</t>
  </si>
  <si>
    <t>TISA base rate for SY2023-24 is $6860.</t>
  </si>
  <si>
    <t>TISA Weights based on TISA Calculator.</t>
  </si>
  <si>
    <t xml:space="preserve"> New Charter School Application Budget Template</t>
  </si>
  <si>
    <t>Proposed School Information</t>
  </si>
  <si>
    <t>Proposed School Name</t>
  </si>
  <si>
    <t>Lead Sponsor Name</t>
  </si>
  <si>
    <t>Lead Sponsor E-mail Address</t>
  </si>
  <si>
    <t>Lead Sponsor Phone Number</t>
  </si>
  <si>
    <t>CMO/EMO Affiliation</t>
  </si>
  <si>
    <t>Proposed Authorizer</t>
  </si>
  <si>
    <t>Proposed Opening Grade Level(s)</t>
  </si>
  <si>
    <t>Proposed Final Grade Level(s)</t>
  </si>
  <si>
    <t>Proposed First Year of Operations</t>
  </si>
  <si>
    <t>Anticipated Enrollment</t>
  </si>
  <si>
    <t>Note: These cells auto-populate after completing Tab 2.</t>
  </si>
  <si>
    <t>TISA Base Rate</t>
  </si>
  <si>
    <t>See Tracker</t>
  </si>
  <si>
    <t>Template Version 12152022</t>
  </si>
  <si>
    <t>Chattanooga Prep - Long Range Projections</t>
  </si>
  <si>
    <t>Long Range Projection Model</t>
  </si>
  <si>
    <t>Knoxville Prep Boys</t>
  </si>
  <si>
    <t>Driver</t>
  </si>
  <si>
    <t>Comments</t>
  </si>
  <si>
    <t>Surplus/(Deficit)</t>
  </si>
  <si>
    <t>Margin</t>
  </si>
  <si>
    <t>Student / FTE ratio</t>
  </si>
  <si>
    <t>Revenue Metrics</t>
  </si>
  <si>
    <t>Total Revenue Per Student</t>
  </si>
  <si>
    <t>Expense Metrics</t>
  </si>
  <si>
    <t xml:space="preserve">Average Teacher Salary </t>
  </si>
  <si>
    <t xml:space="preserve">Included SPED and Homeroom Teacher combined </t>
  </si>
  <si>
    <t>Average Non Teacher Salary</t>
  </si>
  <si>
    <t>Personnel Expense Per Student</t>
  </si>
  <si>
    <t>Non Personnel Expense Per Student</t>
  </si>
  <si>
    <t>Total Expense Per Student</t>
  </si>
  <si>
    <t>Salary &amp; Benefits % of Total Expenses</t>
  </si>
  <si>
    <t>Cash Surplus/Deficit Per Student</t>
  </si>
  <si>
    <t>Recurring Surplus/Deficit Per Student</t>
  </si>
  <si>
    <t>Enrollment Summary</t>
  </si>
  <si>
    <t xml:space="preserve">  Enrollment Total</t>
  </si>
  <si>
    <t>FTE Summary</t>
  </si>
  <si>
    <t xml:space="preserve">  FTE Total</t>
  </si>
  <si>
    <t>Student: Staff Ratios</t>
  </si>
  <si>
    <t>Student: Total Staff</t>
  </si>
  <si>
    <t>Average Teacher Salary</t>
  </si>
  <si>
    <t>Revenue</t>
  </si>
  <si>
    <t>44900 Contributions &amp; Gifts</t>
  </si>
  <si>
    <t>44910 Other Local Revenue</t>
  </si>
  <si>
    <t>44930 In-Kind Contributions (lease)</t>
  </si>
  <si>
    <t xml:space="preserve">FOCP Fundraising </t>
  </si>
  <si>
    <t>44950 Other Grants</t>
  </si>
  <si>
    <t>46510 - State of TN - TISA</t>
  </si>
  <si>
    <t>46511 State of TN - HCDE Trf</t>
  </si>
  <si>
    <t>46590 Other State Educ Funds</t>
  </si>
  <si>
    <t>47111 USDA School Lunch</t>
  </si>
  <si>
    <t>47113 USDA Breakfast</t>
  </si>
  <si>
    <t>47114 Other USDA Funds</t>
  </si>
  <si>
    <t>47141 Title I Grants</t>
  </si>
  <si>
    <t>47143 IDEA</t>
  </si>
  <si>
    <t>47189 Title II Grants</t>
  </si>
  <si>
    <t xml:space="preserve"> PPP Revenue</t>
  </si>
  <si>
    <t xml:space="preserve"> "Other Revenue"</t>
  </si>
  <si>
    <t>Facilities Grant</t>
  </si>
  <si>
    <t xml:space="preserve">Facilities continuous funding </t>
  </si>
  <si>
    <t>47590 Federal through State Funds (ESSER)</t>
  </si>
  <si>
    <t>47990 Direct Federal Funds</t>
  </si>
  <si>
    <t>Regional office allocation (to come after Knoxville)</t>
  </si>
  <si>
    <t>Total Revenue</t>
  </si>
  <si>
    <t>Recurring Public Revenue</t>
  </si>
  <si>
    <t>Recurring Public Revenue per student</t>
  </si>
  <si>
    <t xml:space="preserve">Salaries &amp; Wages </t>
  </si>
  <si>
    <t>Tutors/After-School</t>
  </si>
  <si>
    <t>Stipends</t>
  </si>
  <si>
    <t xml:space="preserve">Bonuses/Supply Stipend </t>
  </si>
  <si>
    <t xml:space="preserve"> Employee Benefits</t>
  </si>
  <si>
    <t>51200 Employee Benefits</t>
  </si>
  <si>
    <t xml:space="preserve">FTE </t>
  </si>
  <si>
    <t>51300 Payroll Taxes</t>
  </si>
  <si>
    <t>FTE</t>
  </si>
  <si>
    <t>Total Employee Benefits</t>
  </si>
  <si>
    <t>Wages and Benefits as a % of Recurring Pub. Rev.</t>
  </si>
  <si>
    <t>Wages and Benefits as a % of Total Expenses</t>
  </si>
  <si>
    <t>Benefits as % of Wages</t>
  </si>
  <si>
    <t xml:space="preserve">51500 Staff Dev &amp; Training </t>
  </si>
  <si>
    <t xml:space="preserve">Per Pupil </t>
  </si>
  <si>
    <t>52000 Contracted Services Excluding Facility</t>
  </si>
  <si>
    <t>Per Pupil</t>
  </si>
  <si>
    <t>Total Contracted Services</t>
  </si>
  <si>
    <t xml:space="preserve">Facilities Expenses </t>
  </si>
  <si>
    <t>53600  Maintenance &amp; Repair</t>
  </si>
  <si>
    <t xml:space="preserve">Direct </t>
  </si>
  <si>
    <t>xxxx Contributions (Trf to FOCP for Gym)</t>
  </si>
  <si>
    <t>53700  Rent</t>
  </si>
  <si>
    <t>Direct</t>
  </si>
  <si>
    <t>Placeholder assumption: 10% of revenues</t>
  </si>
  <si>
    <t>Lease (paid-in-kind, nets with revenue)</t>
  </si>
  <si>
    <t>53800  Utilities</t>
  </si>
  <si>
    <t>Per Pupil During Build-out</t>
  </si>
  <si>
    <t>52000 Contracted Services for Facility</t>
  </si>
  <si>
    <t>Debt Service - First Horizon</t>
  </si>
  <si>
    <t xml:space="preserve">Total Facilities Expenses </t>
  </si>
  <si>
    <t>Other Non-Personnel Expenses</t>
  </si>
  <si>
    <t>53900  Telephone &amp; Internet</t>
  </si>
  <si>
    <t>54000  Supplies &amp; Materials</t>
  </si>
  <si>
    <t>55000  Insurance</t>
  </si>
  <si>
    <t>57000  Equipment</t>
  </si>
  <si>
    <t>59000  Dues, License, Fees, Misc</t>
  </si>
  <si>
    <t>53100 Travel</t>
  </si>
  <si>
    <t xml:space="preserve">53300 Postal Charges </t>
  </si>
  <si>
    <t>53500 Advertising &amp; Communication</t>
  </si>
  <si>
    <t>Total Other Non-Personnel Expenses</t>
  </si>
  <si>
    <t>Home Office Contribution</t>
  </si>
  <si>
    <t>Contingency</t>
  </si>
  <si>
    <t>Expenses per student</t>
  </si>
  <si>
    <t>Add back:</t>
  </si>
  <si>
    <t>Philanthropy</t>
  </si>
  <si>
    <t>CSP start-up revenue</t>
  </si>
  <si>
    <t>ESSER / PPP</t>
  </si>
  <si>
    <t>Other one-time revenue</t>
  </si>
  <si>
    <t>Surplus/(Deficit) on Recurring Pub. Rev.</t>
  </si>
  <si>
    <t>Margin on Recurring Public Revenue</t>
  </si>
  <si>
    <t>Chattanooga Prep - Multi-Year Financial Projection Model</t>
  </si>
  <si>
    <t>Enrollment Projections, by Grade, by School</t>
  </si>
  <si>
    <t xml:space="preserve">All Campuses </t>
  </si>
  <si>
    <t>Consolidated Enrollment Projections</t>
  </si>
  <si>
    <t>All Campuses</t>
  </si>
  <si>
    <t>Total Enrollment</t>
  </si>
  <si>
    <t>MS</t>
  </si>
  <si>
    <t>HS</t>
  </si>
  <si>
    <t>Chatt Prep</t>
  </si>
  <si>
    <t>FY23-24</t>
  </si>
  <si>
    <t>FY24-25</t>
  </si>
  <si>
    <t>FY25-26</t>
  </si>
  <si>
    <t>FY26-27</t>
  </si>
  <si>
    <t>FY27-28</t>
  </si>
  <si>
    <t>FY28-29</t>
  </si>
  <si>
    <t>FY29-30</t>
  </si>
  <si>
    <t>FY30-31</t>
  </si>
  <si>
    <t>Net (decrease)/increase in enrollment year-over-year for rising grades</t>
  </si>
  <si>
    <t>Switch: 1 = Chatt at 550; 2 = Expanded to 700</t>
  </si>
  <si>
    <t>Case 1: Chatt Prep enrollment grows to 550</t>
  </si>
  <si>
    <t>Case 2: Chatt Prep enrollment grows to 700</t>
  </si>
  <si>
    <t>Incoming 6th grade intake compared to prior year</t>
  </si>
  <si>
    <t>Last year's 6th going into 7th grade</t>
  </si>
  <si>
    <t>Last year's 7th going into 8th grade</t>
  </si>
  <si>
    <t>Middle School Change</t>
  </si>
  <si>
    <t>Incoming 9th grade -- adding from 8th grade</t>
  </si>
  <si>
    <t>High School attrition remains the same in both cases --&gt;</t>
  </si>
  <si>
    <t>Last year's 9th going into 10th grade</t>
  </si>
  <si>
    <t>Last year's Exiting 10th into 11th grade</t>
  </si>
  <si>
    <t>Last year's 11th into 12th grade</t>
  </si>
  <si>
    <t>High School Change</t>
  </si>
  <si>
    <t xml:space="preserve">Knoxville Prep - Boys </t>
  </si>
  <si>
    <t>Knox Prep</t>
  </si>
  <si>
    <t>&lt;-- icreasing to 100 per grade</t>
  </si>
  <si>
    <t>New 6th grade intake compared to prior year</t>
  </si>
  <si>
    <t>New 9th grade intake compared to prior year</t>
  </si>
  <si>
    <t xml:space="preserve">Knox Prep - Girls </t>
  </si>
  <si>
    <t>Summit - Girls Prep</t>
  </si>
  <si>
    <t>Chatt Prep II</t>
  </si>
  <si>
    <t xml:space="preserve">New School </t>
  </si>
  <si>
    <t>Chattanooga Preparatory Schools</t>
  </si>
  <si>
    <t>Inputs</t>
  </si>
  <si>
    <t>FY18-19</t>
  </si>
  <si>
    <t>FY19-20</t>
  </si>
  <si>
    <t>FY20-21</t>
  </si>
  <si>
    <t>FY21-22</t>
  </si>
  <si>
    <t>FY22-23</t>
  </si>
  <si>
    <t>Pre-Philanthropy Surplus/Deficit (Consolidated):</t>
  </si>
  <si>
    <t>Revenue Inflation Assumptions</t>
  </si>
  <si>
    <t>Year-over-year changes to BEP - HCDE Trf - MS</t>
  </si>
  <si>
    <t>NA</t>
  </si>
  <si>
    <t>Year-over-year changes to BEP - HCDE Trf - HS</t>
  </si>
  <si>
    <t>Year-over-year changes to BEP - state of TN</t>
  </si>
  <si>
    <t xml:space="preserve">Year-over-year changes to Title 1 </t>
  </si>
  <si>
    <t>Year-over-year changes to Title 2</t>
  </si>
  <si>
    <t>All Other Revenue Growth</t>
  </si>
  <si>
    <t>`</t>
  </si>
  <si>
    <t>State Revenues - BEP / TISA</t>
  </si>
  <si>
    <t>Middle School TISA</t>
  </si>
  <si>
    <t>TBD if it is helpful to break-out Knox TISA separately, if we don't yet know Knox demographics.</t>
  </si>
  <si>
    <t>High School TISA</t>
  </si>
  <si>
    <t>State of TN additional funding (monthly amount from budget)</t>
  </si>
  <si>
    <t>Other State Funding</t>
  </si>
  <si>
    <t xml:space="preserve">Grant Revenue - Facilities </t>
  </si>
  <si>
    <t>USDA Funding Per Pupil</t>
  </si>
  <si>
    <t xml:space="preserve">USDA School Lunch </t>
  </si>
  <si>
    <t>USDA Breakfast</t>
  </si>
  <si>
    <t xml:space="preserve">Other USDA Funds </t>
  </si>
  <si>
    <t>SPED Revenue Per Pupil</t>
  </si>
  <si>
    <t>``</t>
  </si>
  <si>
    <t>IDEA per pupil</t>
  </si>
  <si>
    <t>% of Total SPED Pop to Total Enrollment</t>
  </si>
  <si>
    <t>Federal Title Funds -- Total $ and Per Pupil  $</t>
  </si>
  <si>
    <t>Title 1 (per pupil)</t>
  </si>
  <si>
    <t>Title 2 (per pupil)</t>
  </si>
  <si>
    <t>Title V (CSP - Total) -- for Chatt Prep</t>
  </si>
  <si>
    <t>Title V (CSP - Total) -- for Knox Prep</t>
  </si>
  <si>
    <t>Title V (CSP - Total) -- for Summit Prep</t>
  </si>
  <si>
    <t xml:space="preserve">PPP Revenue </t>
  </si>
  <si>
    <t xml:space="preserve">"Other Revenue" </t>
  </si>
  <si>
    <t>Federal through State Funds</t>
  </si>
  <si>
    <t>GEER</t>
  </si>
  <si>
    <t>21st Century</t>
  </si>
  <si>
    <t>ESSER 3 spread across FY22 - FY24</t>
  </si>
  <si>
    <t>Additonal ESSER assumptoins</t>
  </si>
  <si>
    <t>ESSER 2</t>
  </si>
  <si>
    <t>FY22</t>
  </si>
  <si>
    <t>FY23</t>
  </si>
  <si>
    <t>FY24</t>
  </si>
  <si>
    <t>ESSER 3</t>
  </si>
  <si>
    <t>Multiple</t>
  </si>
  <si>
    <t xml:space="preserve">Direct Federal Funds </t>
  </si>
  <si>
    <t>Personnel Expense Assumptions</t>
  </si>
  <si>
    <t>(to come -- salary drivers for different positions types, by % increases)</t>
  </si>
  <si>
    <t>Personnel Expense Drivers</t>
  </si>
  <si>
    <t>Salary Increase (Annual Rate)</t>
  </si>
  <si>
    <t>Per - FTE drivers</t>
  </si>
  <si>
    <t>Benefits Rate</t>
  </si>
  <si>
    <t>Payroll Taxes / FICA</t>
  </si>
  <si>
    <t>Health Benefits</t>
  </si>
  <si>
    <t>Assuming Benefits rise with inflation -- could increase at a faster rate if needed</t>
  </si>
  <si>
    <t>Non-Personnel Expense Assumptions</t>
  </si>
  <si>
    <t>Non Personnel Inflation</t>
  </si>
  <si>
    <t>Non-personnel growth (facilities)</t>
  </si>
  <si>
    <t>PER FTE and PER PUPIL DRIVERS</t>
  </si>
  <si>
    <t>Side calculation for Facility Operating Costs -- Knox-Boys</t>
  </si>
  <si>
    <t>Side calculation for Facility Operating Costs -- Chatt-Church</t>
  </si>
  <si>
    <t>Square Feet assumption</t>
  </si>
  <si>
    <t>Per Facility</t>
  </si>
  <si>
    <t>Full enrollment</t>
  </si>
  <si>
    <t>Incrmental enrollment</t>
  </si>
  <si>
    <t>52000 Contracted Services</t>
  </si>
  <si>
    <t>Square Feet per Student</t>
  </si>
  <si>
    <t>Per Pupil - for School Services (excluding Facility)</t>
  </si>
  <si>
    <t>Operating Cost per sqfft</t>
  </si>
  <si>
    <t>Facility / Building Related (CHATT) -- total dollars for facility</t>
  </si>
  <si>
    <t>Total Operating Costs</t>
  </si>
  <si>
    <t>Added Operating Costs</t>
  </si>
  <si>
    <t>Facility / Building Related (KNOX) -- total dollars for facility</t>
  </si>
  <si>
    <t>Op Costs per pupil</t>
  </si>
  <si>
    <t>Per Pupil - for Central Services</t>
  </si>
  <si>
    <t>Facility switch</t>
  </si>
  <si>
    <t>Flowing into model</t>
  </si>
  <si>
    <t xml:space="preserve"> Per FTE</t>
  </si>
  <si>
    <t>Driven on a per-FTE basis starting in FY25</t>
  </si>
  <si>
    <t xml:space="preserve">Per FTE </t>
  </si>
  <si>
    <t>55000 Insurance</t>
  </si>
  <si>
    <t>Per FTE</t>
  </si>
  <si>
    <t>Year-over-year percentage changes</t>
  </si>
  <si>
    <t>Non-Personnel items driven off year-over-year percenatge changes</t>
  </si>
  <si>
    <t>Facilities</t>
  </si>
  <si>
    <t>Maintenance &amp; Repair</t>
  </si>
  <si>
    <t xml:space="preserve">Rent </t>
  </si>
  <si>
    <t xml:space="preserve">Utilities </t>
  </si>
  <si>
    <t>Additional facility maintenance expenses per square foot</t>
  </si>
  <si>
    <t xml:space="preserve">Added Square Footage </t>
  </si>
  <si>
    <t>LKs facility growth</t>
  </si>
  <si>
    <t>Home Office Contribution - percent of revenue</t>
  </si>
  <si>
    <t>Summit Prep</t>
  </si>
  <si>
    <t>.</t>
  </si>
  <si>
    <t xml:space="preserve">BEP/TISA PPR HS Assumptions </t>
  </si>
  <si>
    <t>Highschool</t>
  </si>
  <si>
    <t>Base:</t>
  </si>
  <si>
    <t xml:space="preserve">Funding </t>
  </si>
  <si>
    <t>Suggested input based on ADM (when demographic data is unknown)</t>
  </si>
  <si>
    <t>WEIGHTS</t>
  </si>
  <si>
    <t>Weight</t>
  </si>
  <si>
    <t>Students/Services</t>
  </si>
  <si>
    <t>Funding</t>
  </si>
  <si>
    <t>Hamilton County Percentages</t>
  </si>
  <si>
    <t>Chatt Prep Percentages</t>
  </si>
  <si>
    <t>Difference</t>
  </si>
  <si>
    <t>Economically Disadvantaged</t>
  </si>
  <si>
    <t>Direct Certification</t>
  </si>
  <si>
    <t>x</t>
  </si>
  <si>
    <t>x   $6860</t>
  </si>
  <si>
    <t>=</t>
  </si>
  <si>
    <t>&lt;--increasing here for iullstrattive impact</t>
  </si>
  <si>
    <t>Concentrated Poverty</t>
  </si>
  <si>
    <t>If Title I School, 100%.</t>
  </si>
  <si>
    <t>&lt;-- inference based on being a Title 1 school.</t>
  </si>
  <si>
    <t>Small</t>
  </si>
  <si>
    <t>If School District &lt;1000 ADM.</t>
  </si>
  <si>
    <t>Sparse</t>
  </si>
  <si>
    <t>If school district &lt;25 students/sq mile.</t>
  </si>
  <si>
    <t>ULN 1</t>
  </si>
  <si>
    <t>Option 1</t>
  </si>
  <si>
    <t>ULN 2</t>
  </si>
  <si>
    <t>Option 2</t>
  </si>
  <si>
    <t>ULN 3</t>
  </si>
  <si>
    <t>Option 3</t>
  </si>
  <si>
    <t>ULN 4</t>
  </si>
  <si>
    <t>N/A
English Learner Tier 2</t>
  </si>
  <si>
    <t>ULN 5</t>
  </si>
  <si>
    <t xml:space="preserve">English Learner Tier 3 </t>
  </si>
  <si>
    <t>ULN 6</t>
  </si>
  <si>
    <t>Option 4</t>
  </si>
  <si>
    <t>ULN 7</t>
  </si>
  <si>
    <t>Option 5</t>
  </si>
  <si>
    <t>ULN 8</t>
  </si>
  <si>
    <t>Option 6</t>
  </si>
  <si>
    <t>ULN 9</t>
  </si>
  <si>
    <t>Options 7 and 8</t>
  </si>
  <si>
    <t>ULN 10</t>
  </si>
  <si>
    <t>Options 9 and 10</t>
  </si>
  <si>
    <t>DIRECT</t>
  </si>
  <si>
    <t>CTE</t>
  </si>
  <si>
    <t>Accessing coordinated, non-duplicative sequence of academic and technical content; aligned with needs of industries; has multiple entry and exit points that incorporate credentialing; culminates in the attainment of a recognized credential</t>
  </si>
  <si>
    <t>&lt;-- assumption</t>
  </si>
  <si>
    <t>CTE for Hamilton County is 11% of high school ADM; 15% for Knox</t>
  </si>
  <si>
    <t>Postsecondary (ACT)</t>
  </si>
  <si>
    <t>ACT: First take and Retake</t>
  </si>
  <si>
    <t>Assumption is based on % dual-enrolled in a CTE class.
*IF* classes count, this percentage goes up to 100%</t>
  </si>
  <si>
    <t>Charter Facilities</t>
  </si>
  <si>
    <t>*$500 per charter student, based on 2022-23 budget</t>
  </si>
  <si>
    <t>Total TISA Funding</t>
  </si>
  <si>
    <t>Total TISA Funding Per Pupil</t>
  </si>
  <si>
    <t xml:space="preserve">Project Per Pupil (TISA + Local Extra) </t>
  </si>
  <si>
    <t xml:space="preserve">Average District Funding </t>
  </si>
  <si>
    <t>Chatt Prep High School TISA greater/(lesser) than district average</t>
  </si>
  <si>
    <t>Local Extra per Calculator (cell Z39 from calculator)</t>
  </si>
  <si>
    <t xml:space="preserve">BEP/TISA PPR MS Assumptions </t>
  </si>
  <si>
    <t>Chatt Enrollment - FY24 Middle School</t>
  </si>
  <si>
    <t>Middle School</t>
  </si>
  <si>
    <t>English Learner Tier 2</t>
  </si>
  <si>
    <t>(Percentages from Calculator data for Hamilton County)</t>
  </si>
  <si>
    <t>Chatt Prep Middle School TISA greater/(lesser) than district average</t>
  </si>
  <si>
    <t>Local Extra per Calculator (cell Z39)</t>
  </si>
  <si>
    <t>To replace once we vet the latest TISA calculator -- and then adjust for Knox-Boys specific weightings</t>
  </si>
  <si>
    <t>Staffing Summary</t>
  </si>
  <si>
    <t>KNOXVILLE PREP</t>
  </si>
  <si>
    <t>SUMMARY -- MIDDLE SCHOOL PERSONNEL</t>
  </si>
  <si>
    <t>NOTES</t>
  </si>
  <si>
    <t>Surplus/Deficit</t>
  </si>
  <si>
    <t>Students  / FTE</t>
  </si>
  <si>
    <t>Total Wages</t>
  </si>
  <si>
    <t>Bonuses/Stipends/Merit</t>
  </si>
  <si>
    <t>Benefits</t>
  </si>
  <si>
    <t>Avg. Wages per FTE</t>
  </si>
  <si>
    <t>Avg. Comp per FE</t>
  </si>
  <si>
    <t>Total Comp as % of Expenses</t>
  </si>
  <si>
    <t>Year-over year changes in total wages</t>
  </si>
  <si>
    <t>HEADCOUNT</t>
  </si>
  <si>
    <t>Position Type</t>
  </si>
  <si>
    <t>ROUND -- currently assuming 16 students per Lead Teacher</t>
  </si>
  <si>
    <t>M-ROUND</t>
  </si>
  <si>
    <t>Hard code at 1.0</t>
  </si>
  <si>
    <t>Assumes 3 FTE during Year-0</t>
  </si>
  <si>
    <t>Student:Staff Ratios</t>
  </si>
  <si>
    <t>Category</t>
  </si>
  <si>
    <t>Referring to CP-1 ratios</t>
  </si>
  <si>
    <t>Assume support grows once at full scale with surplus</t>
  </si>
  <si>
    <t>AVERAGE WAGES</t>
  </si>
  <si>
    <t xml:space="preserve">Averages linked to CP1 averages </t>
  </si>
  <si>
    <t>Weighted Average</t>
  </si>
  <si>
    <t>TOTAL WAGES</t>
  </si>
  <si>
    <t>Total Full-Time Wages</t>
  </si>
  <si>
    <t>calculated on a per FTE basis equal to FY22 Budget</t>
  </si>
  <si>
    <t xml:space="preserve">Total Stipends </t>
  </si>
  <si>
    <t>Total Additional Wages</t>
  </si>
  <si>
    <t>Budget:</t>
  </si>
  <si>
    <t>check</t>
  </si>
  <si>
    <t>FY18-19 Wages Actual:</t>
  </si>
  <si>
    <t>FY19-20 Wages Actual:</t>
  </si>
  <si>
    <t>FY20-21 Wages Actual:</t>
  </si>
  <si>
    <t>Assumptions for Years after FY23-24</t>
  </si>
  <si>
    <t>Wage difference for average salaries by position type</t>
  </si>
  <si>
    <t>51000 - Salaries &amp; Wages</t>
  </si>
  <si>
    <t>FTE Drivers linked to Inputs tab</t>
  </si>
  <si>
    <t>plug to get to FY22 Actuals</t>
  </si>
  <si>
    <t>Select your district</t>
  </si>
  <si>
    <t>Knox County</t>
  </si>
  <si>
    <t>Middles School enrollment:</t>
  </si>
  <si>
    <r>
      <rPr>
        <b/>
        <sz val="14"/>
        <color rgb="FF000000"/>
        <rFont val="Arial"/>
        <family val="2"/>
      </rPr>
      <t>NOTE</t>
    </r>
    <r>
      <rPr>
        <sz val="14"/>
        <color rgb="FF000000"/>
        <rFont val="Arial"/>
        <family val="2"/>
      </rPr>
      <t>: This funding calculator is meant to serve as an estimating tool for charter operators to get a directional sense of funding under TISA. This tool provides early estimates and should be used as such, not taken as funding actuals at this early stage of TISA transition. "Local Extra" funding (which is in addition to state TISA funding) in particular is an area of the calculator that we will update with new data depending on budget, funding decisions, and initiatives by local governments.</t>
    </r>
  </si>
  <si>
    <r>
      <rPr>
        <b/>
        <sz val="14"/>
        <color rgb="FF000000"/>
        <rFont val="Calibri"/>
        <family val="2"/>
        <scheme val="minor"/>
      </rPr>
      <t xml:space="preserve">Directions: </t>
    </r>
    <r>
      <rPr>
        <sz val="14"/>
        <color rgb="FF000000"/>
        <rFont val="Calibri"/>
        <family val="2"/>
        <scheme val="minor"/>
      </rPr>
      <t xml:space="preserve">
1. Select your district in cell R2. 
2. Fill in the cells shaded in light blue. In each cell, enter the total number of students who qualify for that weight. For example, the Base would include all ADM in your distirct. The "economically disadvantaged" line would include all students who qualify as economically disadvantaged.  
3. If you do not have the data for a certain weight, use the value in column X. This value represents the districts average population, proportional to your student count. </t>
    </r>
  </si>
  <si>
    <t>Your School Under TISA - FY24 Projections</t>
  </si>
  <si>
    <t xml:space="preserve">If you do not have the data for a certain weight, use the below number after inputting your ADM. </t>
  </si>
  <si>
    <t>Your District Under TISA - FY24 Projections</t>
  </si>
  <si>
    <t>Element</t>
  </si>
  <si>
    <t>Definitions / Current Special Codes</t>
  </si>
  <si>
    <t>Base</t>
  </si>
  <si>
    <t>K-3 Literacy</t>
  </si>
  <si>
    <t>Eligible for 3rd grade literacy support</t>
  </si>
  <si>
    <r>
      <t xml:space="preserve">Note: </t>
    </r>
    <r>
      <rPr>
        <sz val="14"/>
        <rFont val="Arial"/>
        <family val="2"/>
      </rPr>
      <t xml:space="preserve">Data for the formula will use the entire prior school year. Any projections reflect data available as of that point in time. </t>
    </r>
  </si>
  <si>
    <t>4th Grade Tutoring</t>
  </si>
  <si>
    <t>"Below" or "Approaching" on 3rd Grade Reading TCAP</t>
  </si>
  <si>
    <t>OTHER FUNDING</t>
  </si>
  <si>
    <t>Outcomes Funding</t>
  </si>
  <si>
    <t>Calculated annually</t>
  </si>
  <si>
    <t>Fast-Growing Funding</t>
  </si>
  <si>
    <r>
      <t xml:space="preserve">Note: </t>
    </r>
    <r>
      <rPr>
        <sz val="14"/>
        <color rgb="FF000000"/>
        <rFont val="Arial"/>
        <family val="2"/>
      </rPr>
      <t>Your difference in $ per pupil is driven by any difference between your school's population and the district's population needs.</t>
    </r>
  </si>
  <si>
    <t>Salary Equity Funding</t>
  </si>
  <si>
    <t>Community Grants (i.e. Cost Differential Factor)</t>
  </si>
  <si>
    <t>TOTALTISA  FUNDING</t>
  </si>
  <si>
    <t>TOTAL FUNDING</t>
  </si>
  <si>
    <t>TOTAL TISA FUNDING PER PUPIL</t>
  </si>
  <si>
    <t>STATE SHARE</t>
  </si>
  <si>
    <t>PROJECTED PER PUPIL (TISA + Local Extra)</t>
  </si>
  <si>
    <t>LOCAL SHARE</t>
  </si>
  <si>
    <t>TOTAL PER PUPIL</t>
  </si>
  <si>
    <r>
      <t xml:space="preserve">Note: </t>
    </r>
    <r>
      <rPr>
        <sz val="14"/>
        <color rgb="FF000000"/>
        <rFont val="Arial"/>
        <family val="2"/>
      </rPr>
      <t>MOE numbers pulled from published TDOE data, and does not reflect additional local funding proposed for 2022-23.</t>
    </r>
  </si>
  <si>
    <t>LOCAL EXTRA (LOCAL FUNDING BEYOND FORMULA)</t>
  </si>
  <si>
    <t>LOCAL EXTRA PER PUPIL</t>
  </si>
  <si>
    <t xml:space="preserve">Your school's need versus your district's </t>
  </si>
  <si>
    <t>PROJECTED TOTAL (TISA + Local Extra)</t>
  </si>
  <si>
    <t>Your School</t>
  </si>
  <si>
    <t>Your District</t>
  </si>
  <si>
    <t>Delta (Knox Prep minus County)</t>
  </si>
  <si>
    <t>4th grade tutoring projection for district reflects data available from initial proposal released in February 2022, which are lower than amounts in final projection</t>
  </si>
  <si>
    <r>
      <t xml:space="preserve">Note: </t>
    </r>
    <r>
      <rPr>
        <sz val="14"/>
        <color rgb="FF000000"/>
        <rFont val="Arial"/>
        <family val="2"/>
      </rPr>
      <t>Total TISA Funding includes state funding and local required match. Almost all TN districts receive additional local funding beyond that requirement, reflected in the calculator as "local extra."</t>
    </r>
  </si>
  <si>
    <t>Charter facilities funding has been excluded from the total for the district as this funding is expected to go directly to charter schools.</t>
  </si>
  <si>
    <t>FY 18-19</t>
  </si>
  <si>
    <t>FY 19-20</t>
  </si>
  <si>
    <t>FY 20-21</t>
  </si>
  <si>
    <t>FY 21-22</t>
  </si>
  <si>
    <t>&lt;-- FY 2022 Through August 2021</t>
  </si>
  <si>
    <t>Driver assumptions</t>
  </si>
  <si>
    <t>Contributions &amp; Gifts</t>
  </si>
  <si>
    <t>*will update after each month of financials issued</t>
  </si>
  <si>
    <t>Hold flat at FY22-YTD for now: $1.178M</t>
  </si>
  <si>
    <t>Other Local Revenue</t>
  </si>
  <si>
    <t>Hold flat at FY22 level for now: $72K</t>
  </si>
  <si>
    <t>In-Kind Contributions</t>
  </si>
  <si>
    <t>Hold flat at FY22 level for now: $24K</t>
  </si>
  <si>
    <t>Other Grants</t>
  </si>
  <si>
    <t>Hold flat at FY22 level for now: $27K</t>
  </si>
  <si>
    <t>BEP - State of TN</t>
  </si>
  <si>
    <t>BEP - HCDE Trf</t>
  </si>
  <si>
    <t>Other State Educ Funds</t>
  </si>
  <si>
    <t>USDA School Lunch</t>
  </si>
  <si>
    <t>Other USDA Funds</t>
  </si>
  <si>
    <t>Title I Grants</t>
  </si>
  <si>
    <t>IDEA</t>
  </si>
  <si>
    <t>Title II Grants</t>
  </si>
  <si>
    <t>CSP Grant</t>
  </si>
  <si>
    <t>PPP Revenue</t>
  </si>
  <si>
    <t>"Other Revenue"</t>
  </si>
  <si>
    <t>FB note for FY20 : updating from CFO sheet with positive $18K; keeping other revenues from this sheet for now.</t>
  </si>
  <si>
    <t>Direct Federal Funds</t>
  </si>
  <si>
    <t>FB note for FY21: large ESSER funds through FY21 based on budget overview notes</t>
  </si>
  <si>
    <t>Cost per Student</t>
  </si>
  <si>
    <t>Prior Year % increase/decrease</t>
  </si>
  <si>
    <t>Total Students for FY</t>
  </si>
  <si>
    <t>66 Students</t>
  </si>
  <si>
    <t>144 Students</t>
  </si>
  <si>
    <t>217 Students</t>
  </si>
  <si>
    <t>300 Students</t>
  </si>
  <si>
    <t>% of Budget Needing to be Fundraised</t>
  </si>
  <si>
    <t>Salaries &amp; Wages</t>
  </si>
  <si>
    <t>Employee Benefits</t>
  </si>
  <si>
    <t>Payroll Taxes</t>
  </si>
  <si>
    <t>Staff Dev &amp; Training</t>
  </si>
  <si>
    <t>Contributions (Trf to FOCP for Gym)</t>
  </si>
  <si>
    <t>Travel</t>
  </si>
  <si>
    <t>Advertising &amp; Communication</t>
  </si>
  <si>
    <t>Telephone &amp; Internet</t>
  </si>
  <si>
    <t>Equipment</t>
  </si>
  <si>
    <t>Depreciation</t>
  </si>
  <si>
    <t>Dues, License, Fees, Misc</t>
  </si>
  <si>
    <t>Pre-Philanthropy Surplus/(Deficit)</t>
  </si>
  <si>
    <t>FB note: for FY22 budget refer to other tab</t>
  </si>
  <si>
    <t>"Weights"</t>
  </si>
  <si>
    <t>"Direct"</t>
  </si>
  <si>
    <t>Knoxville Prep</t>
  </si>
  <si>
    <t>Brad Scott</t>
  </si>
  <si>
    <t>Bradscott@chattanoogaprep.com</t>
  </si>
  <si>
    <t>423-760-2735</t>
  </si>
  <si>
    <t>6th</t>
  </si>
  <si>
    <t>12th</t>
  </si>
  <si>
    <t>Prep Public Schools</t>
  </si>
  <si>
    <t>Monthly copier lease based on similar school in area</t>
  </si>
  <si>
    <t>Stipends, Bonuses, Supply Stipend</t>
  </si>
  <si>
    <t>Annual non-educational expense</t>
  </si>
  <si>
    <t>Annual audit expense</t>
  </si>
  <si>
    <t>One-time set up fee ($6k) Annual cost for phone service ($21 for 52 lines), Annual cost for internet service ($300 business plan)</t>
  </si>
  <si>
    <t>Annual per sq ft cost (1.39) gas, water, sewer and electric</t>
  </si>
  <si>
    <t>Annual cost for trash collection</t>
  </si>
  <si>
    <t>Annual recruiting cost</t>
  </si>
  <si>
    <t>Website development cost and annual cost for website and email domains ($12,000/$320)</t>
  </si>
  <si>
    <t>Annual cost for finace software, microsoft license, payroll software</t>
  </si>
  <si>
    <t>Materials &amp; supplies</t>
  </si>
  <si>
    <t>Fire &amp; Security Monitoring</t>
  </si>
  <si>
    <t>Fire alarm and security monitoring ($134/month)</t>
  </si>
  <si>
    <t>Pest Control</t>
  </si>
  <si>
    <t>Cost per sq ft (.85)</t>
  </si>
  <si>
    <t>Travel-employee</t>
  </si>
  <si>
    <t>Other:  IDEA</t>
  </si>
  <si>
    <t>Other: USDA School Breakfast &amp; Lunch</t>
  </si>
  <si>
    <t>Dues, Licenses &amp; Fees</t>
  </si>
  <si>
    <t>Website maintenance, annual cost for website and email domains, printing, advertising &amp; communications</t>
  </si>
  <si>
    <t xml:space="preserve">$200 per student </t>
  </si>
  <si>
    <t>6% incease a year</t>
  </si>
  <si>
    <t>$1000 per teacher per year</t>
  </si>
  <si>
    <t>$75 per student per year</t>
  </si>
  <si>
    <t>$182 per student per year</t>
  </si>
  <si>
    <t>included in student &amp; faculty supplies</t>
  </si>
  <si>
    <t>$62 per student per year</t>
  </si>
  <si>
    <t>$200 per student per year</t>
  </si>
  <si>
    <t>$25k per grade</t>
  </si>
  <si>
    <t>2% increase per year</t>
  </si>
  <si>
    <t>included in faculty furniture</t>
  </si>
  <si>
    <t>Other - Contracted Services</t>
  </si>
  <si>
    <t>$300 per student in their first year</t>
  </si>
  <si>
    <t>$1500 per teacher in their first year</t>
  </si>
  <si>
    <t>CSGF</t>
  </si>
  <si>
    <t>Other local Knoxville Fundraising</t>
  </si>
  <si>
    <t>Copier annual</t>
  </si>
  <si>
    <t>Grant Writer</t>
  </si>
  <si>
    <t xml:space="preserve">Financial Software one-time purchase and set up ($8k), </t>
  </si>
  <si>
    <t>Grant writer ($4074x12 months)</t>
  </si>
  <si>
    <t>Per trip ($450) travel expense</t>
  </si>
  <si>
    <t>Attendance Manager</t>
  </si>
  <si>
    <t>Educational Assistants/Aides</t>
  </si>
  <si>
    <t>Counselor</t>
  </si>
  <si>
    <t>PE Teacher</t>
  </si>
  <si>
    <t>Art Teacher</t>
  </si>
  <si>
    <t>Extended School Program</t>
  </si>
  <si>
    <t>Academic Stipends</t>
  </si>
  <si>
    <t>Academic Coaches</t>
  </si>
  <si>
    <t xml:space="preserve">Part-Time Academic </t>
  </si>
  <si>
    <t>Part-time Academic</t>
  </si>
  <si>
    <t>$300/Chrombook per student</t>
  </si>
  <si>
    <t xml:space="preserve">$1500/Macbook per Faculty </t>
  </si>
  <si>
    <t>$62/per student</t>
  </si>
  <si>
    <t>Included in Faculty furniture</t>
  </si>
  <si>
    <t>Maintenance/Repairs</t>
  </si>
  <si>
    <t>2 buses @$286 per bus per day, less holidays</t>
  </si>
  <si>
    <t>Home Office Contributions</t>
  </si>
  <si>
    <t>Rent plus Security Deposit</t>
  </si>
  <si>
    <t>CFO To Go - payroll, bill pay, tax preparation, finance</t>
  </si>
  <si>
    <t>Teacher Professional Developemnt, Cirriculum Development &amp; Academic Coaching (Lavinia)</t>
  </si>
  <si>
    <t xml:space="preserve"> Grant writer ($4074x12 months) Sky Strategies</t>
  </si>
  <si>
    <t>Per Pupil Base Rates</t>
  </si>
  <si>
    <t>Enrollment row added to multiply per pupil rates by enrollment to arrive at total revenues</t>
  </si>
  <si>
    <t xml:space="preserve">Per Pupil Weights </t>
  </si>
  <si>
    <t>Per Pupil Direct</t>
  </si>
  <si>
    <t>Per Pupil rates added from TISA tracker and grown at annual increase rate</t>
  </si>
  <si>
    <t>Per Pupil Direct Funding assumptions are in the TISA tracker</t>
  </si>
  <si>
    <t>Per Pupil Weights are in the TISA tracker</t>
  </si>
  <si>
    <t>Per pupil drivers included in the row above and grown at 2.5% per year</t>
  </si>
  <si>
    <t>per pupil</t>
  </si>
  <si>
    <t>Other:  BEP</t>
  </si>
  <si>
    <t>Other: 21 Century</t>
  </si>
  <si>
    <t>$11,900 per month</t>
  </si>
  <si>
    <t>ok on budget template</t>
  </si>
  <si>
    <t>surplus</t>
  </si>
  <si>
    <t>Surplus</t>
  </si>
  <si>
    <t>Expense</t>
  </si>
  <si>
    <t>Charter School Growth Fund</t>
  </si>
  <si>
    <t>Other Fundraising</t>
  </si>
  <si>
    <t>Other Compensation</t>
  </si>
  <si>
    <t>Part-Time Academic</t>
  </si>
  <si>
    <t>budget y1</t>
  </si>
  <si>
    <t>here- cash flow</t>
  </si>
  <si>
    <t>Year 2-5 budget</t>
  </si>
  <si>
    <t>Summary</t>
  </si>
  <si>
    <t>Surpluses HERE</t>
  </si>
  <si>
    <t>comparing all year 1 budgets whereever they appear:</t>
  </si>
  <si>
    <t>Don’t print this.</t>
  </si>
  <si>
    <t>Surplus on Summar</t>
  </si>
  <si>
    <t>checksum</t>
  </si>
  <si>
    <t>CSP Total</t>
  </si>
  <si>
    <t>Based on USDA reimbursement rates</t>
  </si>
  <si>
    <t>Food and Food Services</t>
  </si>
  <si>
    <t>food revenue</t>
  </si>
  <si>
    <t>Year zero</t>
  </si>
  <si>
    <t>CSP</t>
  </si>
  <si>
    <t>Second Year of CSP funding - $200K in Start-up, $200 K this year.</t>
  </si>
  <si>
    <t>total in budget</t>
  </si>
  <si>
    <t>balance</t>
  </si>
  <si>
    <t>Parent Meetings, staff meetings.</t>
  </si>
  <si>
    <t>Parent and Staff meetings.</t>
  </si>
  <si>
    <t xml:space="preserve">3.5 Million </t>
  </si>
  <si>
    <t>250K year zero for ops</t>
  </si>
  <si>
    <t>Local/State Foundations - pledges secured.</t>
  </si>
  <si>
    <t>No authorizer fee in year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</si>
</sst>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 numFmtId="167" formatCode="0.0%"/>
    <numFmt numFmtId="168" formatCode="0.0\x"/>
    <numFmt numFmtId="169" formatCode="#,##0.0_);\(#,##0.0\)"/>
    <numFmt numFmtId="170" formatCode="_(* #,##0.0_);_(* \(#,##0.0\);_(* &quot;-&quot;??_);_(@_)"/>
    <numFmt numFmtId="171" formatCode="_(&quot;$&quot;* #,##0.0_);_(&quot;$&quot;* \(#,##0.0\);_(&quot;$&quot;* &quot;-&quot;??_);_(@_)"/>
    <numFmt numFmtId="172" formatCode="_([$$-409]* #,##0_);_([$$-409]* \(#,##0\);_([$$-409]* &quot;-&quot;??_);_(@_)"/>
    <numFmt numFmtId="173" formatCode="#,##0.0"/>
    <numFmt numFmtId="174" formatCode="&quot;$&quot;#,##0.00"/>
  </numFmts>
  <fonts count="116">
    <font>
      <sz val="11"/>
      <color theme="1"/>
      <name val="Calibri"/>
      <family val="2"/>
      <scheme val="minor"/>
    </font>
    <font>
      <sz val="11"/>
      <color theme="1"/>
      <name val="Calibri"/>
      <family val="2"/>
      <scheme val="minor"/>
    </font>
    <font>
      <b/>
      <sz val="11"/>
      <color theme="1"/>
      <name val="Calibri"/>
      <family val="2"/>
      <scheme val="minor"/>
    </font>
    <font>
      <sz val="11.5"/>
      <name val="Calibri"/>
      <family val="2"/>
      <scheme val="minor"/>
    </font>
    <font>
      <sz val="10"/>
      <name val="Verdana"/>
      <family val="2"/>
    </font>
    <font>
      <b/>
      <sz val="11.5"/>
      <color indexed="9"/>
      <name val="Calibri"/>
      <family val="2"/>
      <scheme val="minor"/>
    </font>
    <font>
      <u/>
      <sz val="10"/>
      <color theme="10"/>
      <name val="Arial"/>
      <family val="2"/>
    </font>
    <font>
      <b/>
      <sz val="9"/>
      <color indexed="81"/>
      <name val="Tahoma"/>
      <family val="2"/>
    </font>
    <font>
      <sz val="9"/>
      <color indexed="81"/>
      <name val="Tahoma"/>
      <family val="2"/>
    </font>
    <font>
      <sz val="10"/>
      <name val="Arial"/>
      <family val="2"/>
    </font>
    <font>
      <b/>
      <sz val="14"/>
      <color theme="1"/>
      <name val="Calibri"/>
      <family val="2"/>
      <scheme val="minor"/>
    </font>
    <font>
      <sz val="11"/>
      <name val="Arial"/>
      <family val="2"/>
    </font>
    <font>
      <b/>
      <sz val="11"/>
      <color theme="1"/>
      <name val="Arial"/>
      <family val="2"/>
    </font>
    <font>
      <sz val="11"/>
      <color rgb="FF0000FF"/>
      <name val="Calibri"/>
      <family val="2"/>
      <scheme val="minor"/>
    </font>
    <font>
      <sz val="11"/>
      <name val="Calibri"/>
      <family val="2"/>
      <scheme val="minor"/>
    </font>
    <font>
      <sz val="11"/>
      <color rgb="FF0000FF"/>
      <name val="Arial"/>
      <family val="2"/>
    </font>
    <font>
      <b/>
      <sz val="11"/>
      <name val="Calibri"/>
      <family val="2"/>
      <scheme val="minor"/>
    </font>
    <font>
      <b/>
      <sz val="11"/>
      <color indexed="9"/>
      <name val="Calibri"/>
      <family val="2"/>
      <scheme val="minor"/>
    </font>
    <font>
      <b/>
      <sz val="11"/>
      <color theme="0"/>
      <name val="Calibri"/>
      <family val="2"/>
      <scheme val="minor"/>
    </font>
    <font>
      <sz val="8"/>
      <name val="Calibri"/>
      <family val="2"/>
      <scheme val="minor"/>
    </font>
    <font>
      <sz val="11.5"/>
      <color rgb="FF0000FF"/>
      <name val="Calibri"/>
      <family val="2"/>
      <scheme val="minor"/>
    </font>
    <font>
      <u/>
      <sz val="11"/>
      <color theme="1"/>
      <name val="Calibri"/>
      <family val="2"/>
      <scheme val="minor"/>
    </font>
    <font>
      <i/>
      <sz val="11"/>
      <color theme="1"/>
      <name val="Calibri"/>
      <family val="2"/>
      <scheme val="minor"/>
    </font>
    <font>
      <sz val="11"/>
      <color rgb="FFFF0000"/>
      <name val="Calibri"/>
      <family val="2"/>
      <scheme val="minor"/>
    </font>
    <font>
      <sz val="12"/>
      <color rgb="FF000000"/>
      <name val="Calibri"/>
      <family val="2"/>
    </font>
    <font>
      <b/>
      <sz val="15"/>
      <color rgb="FF000000"/>
      <name val="Calibri "/>
    </font>
    <font>
      <i/>
      <sz val="11"/>
      <name val="Calibri "/>
    </font>
    <font>
      <b/>
      <sz val="11"/>
      <color rgb="FF0000FF"/>
      <name val="Calibri "/>
    </font>
    <font>
      <b/>
      <sz val="11"/>
      <color theme="0"/>
      <name val="Calibri"/>
      <family val="2"/>
    </font>
    <font>
      <b/>
      <sz val="12"/>
      <color theme="0"/>
      <name val="Calibri"/>
      <family val="2"/>
    </font>
    <font>
      <b/>
      <sz val="11"/>
      <color indexed="8"/>
      <name val="Calibri"/>
      <family val="2"/>
    </font>
    <font>
      <sz val="11"/>
      <color theme="0"/>
      <name val="Calibri"/>
      <family val="2"/>
    </font>
    <font>
      <b/>
      <i/>
      <sz val="11"/>
      <color rgb="FF000000"/>
      <name val="Calibri"/>
      <family val="2"/>
    </font>
    <font>
      <b/>
      <i/>
      <u/>
      <sz val="11"/>
      <color rgb="FF000000"/>
      <name val="Calibri"/>
      <family val="2"/>
    </font>
    <font>
      <sz val="11"/>
      <color rgb="FF000000"/>
      <name val="Calibri"/>
      <family val="2"/>
    </font>
    <font>
      <b/>
      <u/>
      <sz val="11"/>
      <color rgb="FF000000"/>
      <name val="Calibri"/>
      <family val="2"/>
    </font>
    <font>
      <b/>
      <sz val="11"/>
      <color rgb="FF000000"/>
      <name val="Calibri"/>
      <family val="2"/>
    </font>
    <font>
      <sz val="11"/>
      <color rgb="FF000000"/>
      <name val="Calibri"/>
      <family val="2"/>
      <scheme val="minor"/>
    </font>
    <font>
      <b/>
      <sz val="12"/>
      <name val="Calibri"/>
      <family val="2"/>
    </font>
    <font>
      <b/>
      <sz val="11"/>
      <name val="Calibri"/>
      <family val="2"/>
    </font>
    <font>
      <b/>
      <sz val="12"/>
      <color rgb="FF000000"/>
      <name val="Calibri"/>
      <family val="2"/>
    </font>
    <font>
      <sz val="12"/>
      <name val="Calibri"/>
      <family val="2"/>
    </font>
    <font>
      <i/>
      <sz val="12"/>
      <color rgb="FF000000"/>
      <name val="Calibri"/>
      <family val="2"/>
    </font>
    <font>
      <b/>
      <i/>
      <sz val="12"/>
      <color rgb="FF000000"/>
      <name val="Calibri"/>
      <family val="2"/>
    </font>
    <font>
      <b/>
      <i/>
      <sz val="12"/>
      <name val="Calibri"/>
      <family val="2"/>
    </font>
    <font>
      <b/>
      <i/>
      <sz val="12"/>
      <color indexed="8"/>
      <name val="Calibri"/>
      <family val="2"/>
    </font>
    <font>
      <sz val="12"/>
      <color rgb="FF0000FF"/>
      <name val="Calibri"/>
      <family val="2"/>
    </font>
    <font>
      <sz val="12"/>
      <color theme="1"/>
      <name val="Calibri"/>
      <family val="2"/>
    </font>
    <font>
      <b/>
      <i/>
      <sz val="11"/>
      <color theme="1"/>
      <name val="Calibri"/>
      <family val="2"/>
      <scheme val="minor"/>
    </font>
    <font>
      <b/>
      <i/>
      <sz val="11"/>
      <color theme="0" tint="-0.499984740745262"/>
      <name val="Calibri"/>
      <family val="2"/>
      <scheme val="minor"/>
    </font>
    <font>
      <b/>
      <sz val="11"/>
      <color rgb="FFFF0000"/>
      <name val="Calibri"/>
      <family val="2"/>
      <scheme val="minor"/>
    </font>
    <font>
      <b/>
      <u/>
      <sz val="11"/>
      <color theme="1"/>
      <name val="Calibri"/>
      <family val="2"/>
      <scheme val="minor"/>
    </font>
    <font>
      <i/>
      <sz val="11"/>
      <color indexed="8"/>
      <name val="Calibri"/>
      <family val="2"/>
      <scheme val="minor"/>
    </font>
    <font>
      <sz val="11"/>
      <color theme="5" tint="-0.249977111117893"/>
      <name val="Calibri"/>
      <family val="2"/>
      <scheme val="minor"/>
    </font>
    <font>
      <sz val="11"/>
      <color rgb="FFC00000"/>
      <name val="Calibri"/>
      <family val="2"/>
      <scheme val="minor"/>
    </font>
    <font>
      <b/>
      <sz val="12"/>
      <name val="Calibri"/>
      <family val="2"/>
      <scheme val="minor"/>
    </font>
    <font>
      <b/>
      <sz val="11"/>
      <color rgb="FF0000FF"/>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i/>
      <sz val="12"/>
      <name val="Calibri"/>
      <family val="2"/>
      <scheme val="minor"/>
    </font>
    <font>
      <sz val="12"/>
      <name val="Calibri"/>
      <family val="2"/>
      <scheme val="minor"/>
    </font>
    <font>
      <i/>
      <sz val="12"/>
      <name val="Calibri"/>
      <family val="2"/>
      <scheme val="minor"/>
    </font>
    <font>
      <b/>
      <i/>
      <u/>
      <sz val="12"/>
      <name val="Calibri"/>
      <family val="2"/>
      <scheme val="minor"/>
    </font>
    <font>
      <sz val="12"/>
      <color rgb="FF0000FF"/>
      <name val="Calibri"/>
      <family val="2"/>
      <scheme val="minor"/>
    </font>
    <font>
      <b/>
      <sz val="12"/>
      <color rgb="FF000000"/>
      <name val="Calibri"/>
      <family val="2"/>
      <scheme val="minor"/>
    </font>
    <font>
      <i/>
      <sz val="11"/>
      <color rgb="FF000000"/>
      <name val="Calibri "/>
    </font>
    <font>
      <b/>
      <sz val="13"/>
      <color rgb="FF0000FF"/>
      <name val="Calibri "/>
    </font>
    <font>
      <sz val="10"/>
      <color rgb="FF000000"/>
      <name val="Arial"/>
      <family val="2"/>
    </font>
    <font>
      <i/>
      <sz val="10"/>
      <color theme="0" tint="-0.499984740745262"/>
      <name val="Calibri"/>
      <family val="2"/>
      <scheme val="minor"/>
    </font>
    <font>
      <sz val="12"/>
      <color theme="0"/>
      <name val="Calibri"/>
      <family val="2"/>
      <scheme val="minor"/>
    </font>
    <font>
      <sz val="12"/>
      <color rgb="FFFF0000"/>
      <name val="Calibri"/>
      <family val="2"/>
      <scheme val="minor"/>
    </font>
    <font>
      <sz val="10"/>
      <color theme="1"/>
      <name val="Arial"/>
      <family val="2"/>
    </font>
    <font>
      <b/>
      <sz val="12"/>
      <color rgb="FF0000FF"/>
      <name val="Calibri"/>
      <family val="2"/>
      <scheme val="minor"/>
    </font>
    <font>
      <b/>
      <sz val="11"/>
      <color theme="9" tint="-0.249977111117893"/>
      <name val="Calibri"/>
      <family val="2"/>
      <scheme val="minor"/>
    </font>
    <font>
      <b/>
      <sz val="11"/>
      <color rgb="FF000000"/>
      <name val="Calibri"/>
      <family val="2"/>
      <scheme val="minor"/>
    </font>
    <font>
      <sz val="11"/>
      <color theme="1"/>
      <name val="Calibri"/>
      <family val="2"/>
    </font>
    <font>
      <sz val="10"/>
      <color rgb="FF002060"/>
      <name val="Arial"/>
      <family val="2"/>
    </font>
    <font>
      <sz val="11"/>
      <color rgb="FF000000"/>
      <name val="Arial"/>
      <family val="2"/>
    </font>
    <font>
      <b/>
      <sz val="12"/>
      <color rgb="FFFF0000"/>
      <name val="Calibri"/>
      <family val="2"/>
      <scheme val="minor"/>
    </font>
    <font>
      <sz val="11"/>
      <color theme="1"/>
      <name val="Caibri"/>
    </font>
    <font>
      <i/>
      <sz val="11"/>
      <color theme="0" tint="-0.34998626667073579"/>
      <name val="Caibri"/>
    </font>
    <font>
      <b/>
      <sz val="13"/>
      <color rgb="FF4472C4"/>
      <name val="Calibri "/>
    </font>
    <font>
      <i/>
      <sz val="11"/>
      <color theme="1"/>
      <name val="Caibri"/>
    </font>
    <font>
      <b/>
      <sz val="11"/>
      <color theme="0"/>
      <name val="Caibri"/>
    </font>
    <font>
      <b/>
      <u/>
      <sz val="11"/>
      <name val="Calibri"/>
      <family val="2"/>
    </font>
    <font>
      <b/>
      <u/>
      <sz val="11"/>
      <color theme="1"/>
      <name val="Caibri"/>
    </font>
    <font>
      <b/>
      <i/>
      <sz val="11"/>
      <color theme="1"/>
      <name val="Caibri"/>
    </font>
    <font>
      <b/>
      <sz val="11"/>
      <color theme="1"/>
      <name val="Caibri"/>
    </font>
    <font>
      <sz val="11"/>
      <name val="Caibri"/>
    </font>
    <font>
      <sz val="11"/>
      <color rgb="FF0000FF"/>
      <name val="Caibri"/>
    </font>
    <font>
      <sz val="11"/>
      <color theme="9" tint="-0.499984740745262"/>
      <name val="Caibri"/>
    </font>
    <font>
      <i/>
      <sz val="11"/>
      <color rgb="FF0000FF"/>
      <name val="Caibri"/>
    </font>
    <font>
      <b/>
      <sz val="11"/>
      <color theme="4"/>
      <name val="Calibri"/>
      <family val="2"/>
      <scheme val="minor"/>
    </font>
    <font>
      <sz val="11"/>
      <color theme="9" tint="-0.249977111117893"/>
      <name val="Caibri"/>
    </font>
    <font>
      <b/>
      <sz val="14"/>
      <color rgb="FF000000"/>
      <name val="Arial"/>
      <family val="2"/>
    </font>
    <font>
      <b/>
      <sz val="10"/>
      <color rgb="FF002060"/>
      <name val="Arial"/>
      <family val="2"/>
    </font>
    <font>
      <sz val="14"/>
      <color rgb="FF000000"/>
      <name val="Arial"/>
      <family val="2"/>
    </font>
    <font>
      <sz val="14"/>
      <color rgb="FF000000"/>
      <name val="Calibri"/>
      <family val="2"/>
      <scheme val="minor"/>
    </font>
    <font>
      <b/>
      <sz val="14"/>
      <color rgb="FF000000"/>
      <name val="Calibri"/>
      <family val="2"/>
      <scheme val="minor"/>
    </font>
    <font>
      <b/>
      <sz val="11"/>
      <color rgb="FF000000"/>
      <name val="Arial"/>
      <family val="2"/>
    </font>
    <font>
      <sz val="14"/>
      <name val="Arial"/>
      <family val="2"/>
    </font>
    <font>
      <sz val="12"/>
      <color rgb="FF000000"/>
      <name val="Arial"/>
      <family val="2"/>
    </font>
    <font>
      <b/>
      <u/>
      <sz val="10"/>
      <color theme="1"/>
      <name val="Arial"/>
      <family val="2"/>
    </font>
    <font>
      <b/>
      <u/>
      <sz val="10"/>
      <color rgb="FF000000"/>
      <name val="Arial"/>
      <family val="2"/>
    </font>
    <font>
      <b/>
      <sz val="10"/>
      <color theme="1"/>
      <name val="Arial"/>
      <family val="2"/>
    </font>
    <font>
      <u/>
      <sz val="10"/>
      <color theme="1"/>
      <name val="Arial"/>
      <family val="2"/>
    </font>
    <font>
      <b/>
      <i/>
      <sz val="10"/>
      <color rgb="FF000000"/>
      <name val="Arial"/>
      <family val="2"/>
    </font>
    <font>
      <sz val="10"/>
      <color rgb="FFC00000"/>
      <name val="Arial"/>
      <family val="2"/>
    </font>
    <font>
      <b/>
      <i/>
      <sz val="11"/>
      <color rgb="FF000000"/>
      <name val="Arial"/>
      <family val="2"/>
    </font>
    <font>
      <u/>
      <sz val="11.5"/>
      <color theme="10"/>
      <name val="Calibri"/>
      <family val="2"/>
    </font>
    <font>
      <sz val="11.5"/>
      <color theme="1"/>
      <name val="Calibri"/>
      <family val="2"/>
    </font>
    <font>
      <b/>
      <sz val="11"/>
      <name val="Arial"/>
      <family val="2"/>
    </font>
    <font>
      <b/>
      <sz val="10"/>
      <color rgb="FF000000"/>
      <name val="Arial"/>
      <family val="2"/>
    </font>
    <font>
      <b/>
      <u/>
      <sz val="11"/>
      <color rgb="FF000000"/>
      <name val="Calibri"/>
      <family val="2"/>
      <scheme val="minor"/>
    </font>
    <font>
      <sz val="9"/>
      <color rgb="FF000000"/>
      <name val="Tahoma"/>
      <family val="2"/>
    </font>
  </fonts>
  <fills count="46">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3"/>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0" tint="-4.9989318521683403E-2"/>
        <bgColor indexed="64"/>
      </patternFill>
    </fill>
    <fill>
      <patternFill patternType="lightUp">
        <bgColor theme="0" tint="-0.14996795556505021"/>
      </patternFill>
    </fill>
    <fill>
      <patternFill patternType="solid">
        <fgColor rgb="FFFFFF00"/>
        <bgColor indexed="64"/>
      </patternFill>
    </fill>
    <fill>
      <patternFill patternType="solid">
        <fgColor theme="4" tint="-0.499984740745262"/>
        <bgColor indexed="64"/>
      </patternFill>
    </fill>
    <fill>
      <patternFill patternType="solid">
        <fgColor rgb="FFE7E6E6"/>
        <bgColor rgb="FF000000"/>
      </patternFill>
    </fill>
    <fill>
      <patternFill patternType="solid">
        <fgColor rgb="FFFFC000"/>
        <bgColor indexed="64"/>
      </patternFill>
    </fill>
    <fill>
      <patternFill patternType="solid">
        <fgColor theme="6" tint="0.39997558519241921"/>
        <bgColor rgb="FFFFE599"/>
      </patternFill>
    </fill>
    <fill>
      <patternFill patternType="solid">
        <fgColor theme="7" tint="0.59999389629810485"/>
        <bgColor indexed="64"/>
      </patternFill>
    </fill>
    <fill>
      <patternFill patternType="solid">
        <fgColor rgb="FFCCCCCC"/>
        <bgColor theme="0" tint="-0.24994659260841701"/>
      </patternFill>
    </fill>
    <fill>
      <patternFill patternType="solid">
        <fgColor rgb="FFCCCCCC"/>
        <bgColor rgb="FFCCCCCC"/>
      </patternFill>
    </fill>
    <fill>
      <patternFill patternType="solid">
        <fgColor indexed="65"/>
        <bgColor indexed="64"/>
      </patternFill>
    </fill>
    <fill>
      <patternFill patternType="solid">
        <fgColor theme="3"/>
        <bgColor theme="0" tint="-0.24994659260841701"/>
      </patternFill>
    </fill>
    <fill>
      <patternFill patternType="solid">
        <fgColor indexed="65"/>
        <bgColor theme="0" tint="-0.24994659260841701"/>
      </patternFill>
    </fill>
    <fill>
      <patternFill patternType="solid">
        <fgColor theme="5" tint="0.39997558519241921"/>
        <bgColor rgb="FFCCCCCC"/>
      </patternFill>
    </fill>
    <fill>
      <patternFill patternType="solid">
        <fgColor rgb="FFFFE599"/>
        <bgColor rgb="FFFFE599"/>
      </patternFill>
    </fill>
    <fill>
      <patternFill patternType="solid">
        <fgColor rgb="FFFFFF00"/>
        <bgColor theme="0" tint="-0.24994659260841701"/>
      </patternFill>
    </fill>
    <fill>
      <patternFill patternType="solid">
        <fgColor rgb="FFFFE599"/>
        <bgColor theme="0" tint="-0.24994659260841701"/>
      </patternFill>
    </fill>
    <fill>
      <patternFill patternType="solid">
        <fgColor theme="5" tint="0.39997558519241921"/>
        <bgColor theme="0" tint="-0.24994659260841701"/>
      </patternFill>
    </fill>
    <fill>
      <patternFill patternType="solid">
        <fgColor theme="0" tint="-0.249977111117893"/>
        <bgColor theme="0" tint="-0.24994659260841701"/>
      </patternFill>
    </fill>
    <fill>
      <patternFill patternType="solid">
        <fgColor rgb="FFD9D9D9"/>
        <bgColor rgb="FF000000"/>
      </patternFill>
    </fill>
    <fill>
      <patternFill patternType="solid">
        <fgColor theme="0" tint="-0.14999847407452621"/>
        <bgColor indexed="64"/>
      </patternFill>
    </fill>
    <fill>
      <patternFill patternType="solid">
        <fgColor rgb="FF44546A"/>
        <bgColor rgb="FF44546A"/>
      </patternFill>
    </fill>
    <fill>
      <patternFill patternType="solid">
        <fgColor theme="2" tint="-9.9978637043366805E-2"/>
        <bgColor indexed="64"/>
      </patternFill>
    </fill>
    <fill>
      <patternFill patternType="solid">
        <fgColor theme="0"/>
        <bgColor indexed="64"/>
      </patternFill>
    </fill>
    <fill>
      <patternFill patternType="lightUp">
        <bgColor theme="0" tint="-0.249977111117893"/>
      </patternFill>
    </fill>
    <fill>
      <patternFill patternType="solid">
        <fgColor theme="5" tint="0.59999389629810485"/>
        <bgColor indexed="64"/>
      </patternFill>
    </fill>
    <fill>
      <patternFill patternType="solid">
        <fgColor theme="1"/>
        <bgColor indexed="64"/>
      </patternFill>
    </fill>
    <fill>
      <patternFill patternType="solid">
        <fgColor rgb="FFA6A6A6"/>
        <bgColor rgb="FF000000"/>
      </patternFill>
    </fill>
    <fill>
      <patternFill patternType="solid">
        <fgColor rgb="FF00B050"/>
        <bgColor indexed="64"/>
      </patternFill>
    </fill>
    <fill>
      <patternFill patternType="solid">
        <fgColor theme="2" tint="-0.34998626667073579"/>
        <bgColor indexed="64"/>
      </patternFill>
    </fill>
    <fill>
      <patternFill patternType="solid">
        <fgColor theme="2" tint="-0.14999847407452621"/>
        <bgColor indexed="64"/>
      </patternFill>
    </fill>
    <fill>
      <patternFill patternType="solid">
        <fgColor rgb="FFCFE2F3"/>
        <bgColor rgb="FFCFE2F3"/>
      </patternFill>
    </fill>
    <fill>
      <patternFill patternType="solid">
        <fgColor theme="5" tint="0.79998168889431442"/>
        <bgColor indexed="64"/>
      </patternFill>
    </fill>
    <fill>
      <patternFill patternType="solid">
        <fgColor rgb="FFB6D7A8"/>
        <bgColor rgb="FFB6D7A8"/>
      </patternFill>
    </fill>
    <fill>
      <patternFill patternType="solid">
        <fgColor rgb="FFFFF2CC"/>
        <bgColor rgb="FFFFF2CC"/>
      </patternFill>
    </fill>
    <fill>
      <patternFill patternType="solid">
        <fgColor theme="4" tint="0.59999389629810485"/>
        <bgColor indexed="64"/>
      </patternFill>
    </fill>
    <fill>
      <patternFill patternType="solid">
        <fgColor rgb="FF92D050"/>
        <bgColor indexed="64"/>
      </patternFill>
    </fill>
  </fills>
  <borders count="59">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indexed="64"/>
      </top>
      <bottom style="double">
        <color indexed="64"/>
      </bottom>
      <diagonal/>
    </border>
    <border>
      <left style="thin">
        <color auto="1"/>
      </left>
      <right style="thin">
        <color auto="1"/>
      </right>
      <top style="thin">
        <color auto="1"/>
      </top>
      <bottom/>
      <diagonal/>
    </border>
    <border>
      <left/>
      <right/>
      <top style="thin">
        <color indexed="64"/>
      </top>
      <bottom style="double">
        <color indexed="64"/>
      </bottom>
      <diagonal/>
    </border>
    <border>
      <left/>
      <right/>
      <top/>
      <bottom style="double">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top/>
      <bottom style="thin">
        <color auto="1"/>
      </bottom>
      <diagonal/>
    </border>
    <border>
      <left style="medium">
        <color indexed="64"/>
      </left>
      <right/>
      <top style="thin">
        <color indexed="64"/>
      </top>
      <bottom/>
      <diagonal/>
    </border>
    <border>
      <left/>
      <right/>
      <top style="thin">
        <color auto="1"/>
      </top>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style="medium">
        <color indexed="64"/>
      </left>
      <right style="thin">
        <color indexed="64"/>
      </right>
      <top style="thin">
        <color indexed="64"/>
      </top>
      <bottom style="medium">
        <color indexed="64"/>
      </bottom>
      <diagonal/>
    </border>
    <border>
      <left style="medium">
        <color rgb="FF000000"/>
      </left>
      <right style="medium">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right style="thin">
        <color indexed="64"/>
      </right>
      <top/>
      <bottom/>
      <diagonal/>
    </border>
    <border>
      <left style="thin">
        <color indexed="64"/>
      </left>
      <right style="dotted">
        <color rgb="FF7F7F7F"/>
      </right>
      <top style="dotted">
        <color rgb="FF7F7F7F"/>
      </top>
      <bottom style="dotted">
        <color rgb="FF7F7F7F"/>
      </bottom>
      <diagonal/>
    </border>
    <border>
      <left style="dotted">
        <color rgb="FF7F7F7F"/>
      </left>
      <right style="dotted">
        <color rgb="FF7F7F7F"/>
      </right>
      <top style="dotted">
        <color rgb="FF7F7F7F"/>
      </top>
      <bottom style="dotted">
        <color rgb="FF7F7F7F"/>
      </bottom>
      <diagonal/>
    </border>
    <border>
      <left style="thin">
        <color indexed="64"/>
      </left>
      <right style="dotted">
        <color rgb="FF7F7F7F"/>
      </right>
      <top style="dotted">
        <color rgb="FF7F7F7F"/>
      </top>
      <bottom style="thin">
        <color indexed="64"/>
      </bottom>
      <diagonal/>
    </border>
    <border>
      <left style="dotted">
        <color rgb="FF7F7F7F"/>
      </left>
      <right style="dotted">
        <color rgb="FF7F7F7F"/>
      </right>
      <top style="medium">
        <color rgb="FF000000"/>
      </top>
      <bottom style="thin">
        <color indexed="64"/>
      </bottom>
      <diagonal/>
    </border>
    <border>
      <left style="thin">
        <color indexed="64"/>
      </left>
      <right style="dotted">
        <color rgb="FF7F7F7F"/>
      </right>
      <top/>
      <bottom/>
      <diagonal/>
    </border>
    <border>
      <left style="dotted">
        <color rgb="FF7F7F7F"/>
      </left>
      <right style="dotted">
        <color rgb="FF7F7F7F"/>
      </right>
      <top/>
      <bottom/>
      <diagonal/>
    </border>
    <border>
      <left style="thin">
        <color indexed="64"/>
      </left>
      <right/>
      <top style="dotted">
        <color rgb="FF7F7F7F"/>
      </top>
      <bottom style="thin">
        <color indexed="64"/>
      </bottom>
      <diagonal/>
    </border>
    <border>
      <left style="dotted">
        <color rgb="FF7F7F7F"/>
      </left>
      <right style="dotted">
        <color rgb="FF7F7F7F"/>
      </right>
      <top style="dotted">
        <color rgb="FF7F7F7F"/>
      </top>
      <bottom/>
      <diagonal/>
    </border>
    <border>
      <left style="dotted">
        <color rgb="FF7F7F7F"/>
      </left>
      <right style="dotted">
        <color rgb="FF7F7F7F"/>
      </right>
      <top style="thin">
        <color auto="1"/>
      </top>
      <bottom/>
      <diagonal/>
    </border>
    <border>
      <left style="thin">
        <color indexed="64"/>
      </left>
      <right style="dotted">
        <color rgb="FF7F7F7F"/>
      </right>
      <top/>
      <bottom style="medium">
        <color indexed="64"/>
      </bottom>
      <diagonal/>
    </border>
    <border>
      <left style="thin">
        <color indexed="64"/>
      </left>
      <right style="dotted">
        <color rgb="FF7F7F7F"/>
      </right>
      <top/>
      <bottom style="medium">
        <color rgb="FF000000"/>
      </bottom>
      <diagonal/>
    </border>
    <border>
      <left style="dotted">
        <color rgb="FF7F7F7F"/>
      </left>
      <right style="dotted">
        <color rgb="FF7F7F7F"/>
      </right>
      <top style="medium">
        <color rgb="FF000000"/>
      </top>
      <bottom style="medium">
        <color rgb="FF000000"/>
      </bottom>
      <diagonal/>
    </border>
    <border>
      <left style="dotted">
        <color rgb="FF7F7F7F"/>
      </left>
      <right style="thin">
        <color indexed="64"/>
      </right>
      <top/>
      <bottom style="thin">
        <color indexed="64"/>
      </bottom>
      <diagonal/>
    </border>
    <border>
      <left style="medium">
        <color indexed="64"/>
      </left>
      <right style="medium">
        <color indexed="64"/>
      </right>
      <top style="medium">
        <color indexed="64"/>
      </top>
      <bottom/>
      <diagonal/>
    </border>
  </borders>
  <cellStyleXfs count="18">
    <xf numFmtId="0" fontId="0" fillId="0" borderId="0"/>
    <xf numFmtId="0" fontId="4" fillId="0" borderId="0"/>
    <xf numFmtId="0" fontId="6" fillId="0" borderId="0" applyNumberFormat="0" applyFill="0" applyBorder="0" applyAlignment="0" applyProtection="0">
      <alignment vertical="top"/>
      <protection locked="0"/>
    </xf>
    <xf numFmtId="0" fontId="1" fillId="0" borderId="0"/>
    <xf numFmtId="0" fontId="9"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4" fillId="0" borderId="0"/>
    <xf numFmtId="0" fontId="24" fillId="0" borderId="0"/>
    <xf numFmtId="44" fontId="9" fillId="0" borderId="0" applyFont="0" applyFill="0" applyBorder="0" applyAlignment="0" applyProtection="0"/>
    <xf numFmtId="43" fontId="24" fillId="0" borderId="0" applyFont="0" applyFill="0" applyBorder="0" applyAlignment="0" applyProtection="0"/>
    <xf numFmtId="0" fontId="68" fillId="0" borderId="0"/>
    <xf numFmtId="0" fontId="76" fillId="0" borderId="0"/>
    <xf numFmtId="0" fontId="76" fillId="0" borderId="0"/>
    <xf numFmtId="0" fontId="58" fillId="0" borderId="0"/>
    <xf numFmtId="0" fontId="6" fillId="0" borderId="0" applyNumberFormat="0" applyFill="0" applyBorder="0" applyAlignment="0" applyProtection="0"/>
    <xf numFmtId="9" fontId="68" fillId="0" borderId="0" applyFont="0" applyFill="0" applyBorder="0" applyAlignment="0" applyProtection="0"/>
  </cellStyleXfs>
  <cellXfs count="799">
    <xf numFmtId="0" fontId="0" fillId="0" borderId="0" xfId="0"/>
    <xf numFmtId="0" fontId="11" fillId="0" borderId="0" xfId="4" applyFont="1" applyAlignment="1">
      <alignment horizontal="left"/>
    </xf>
    <xf numFmtId="0" fontId="14" fillId="0" borderId="0" xfId="4" applyFont="1" applyAlignment="1">
      <alignment horizontal="left"/>
    </xf>
    <xf numFmtId="0" fontId="0" fillId="0" borderId="0" xfId="4" applyFont="1" applyAlignment="1">
      <alignment horizontal="left"/>
    </xf>
    <xf numFmtId="0" fontId="16" fillId="0" borderId="0" xfId="4" applyFont="1" applyAlignment="1">
      <alignment horizontal="left"/>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10" fillId="0" borderId="0" xfId="0" applyFont="1" applyAlignment="1">
      <alignment horizontal="center"/>
    </xf>
    <xf numFmtId="0" fontId="0" fillId="0" borderId="0" xfId="0" applyAlignment="1">
      <alignment horizontal="center" vertical="center" wrapText="1"/>
    </xf>
    <xf numFmtId="0" fontId="6" fillId="0" borderId="6" xfId="2" applyFill="1" applyBorder="1" applyAlignment="1" applyProtection="1">
      <alignment horizontal="left" vertical="top"/>
    </xf>
    <xf numFmtId="0" fontId="3" fillId="0" borderId="6" xfId="0" quotePrefix="1" applyFont="1" applyBorder="1" applyAlignment="1">
      <alignment horizontal="left" vertical="top" wrapText="1"/>
    </xf>
    <xf numFmtId="0" fontId="3" fillId="0" borderId="0" xfId="0" quotePrefix="1" applyFont="1" applyAlignment="1">
      <alignment horizontal="left" vertical="top" wrapText="1"/>
    </xf>
    <xf numFmtId="0" fontId="6" fillId="0" borderId="6" xfId="2" quotePrefix="1" applyFill="1" applyBorder="1" applyAlignment="1" applyProtection="1">
      <alignment horizontal="left" vertical="top"/>
    </xf>
    <xf numFmtId="0" fontId="0" fillId="2" borderId="10" xfId="0" applyFill="1" applyBorder="1"/>
    <xf numFmtId="0" fontId="0" fillId="3" borderId="10" xfId="0" applyFill="1" applyBorder="1"/>
    <xf numFmtId="0" fontId="0" fillId="0" borderId="10" xfId="0" applyBorder="1"/>
    <xf numFmtId="0" fontId="0" fillId="0" borderId="0" xfId="0" applyAlignment="1">
      <alignment horizontal="center"/>
    </xf>
    <xf numFmtId="0" fontId="0" fillId="0" borderId="7" xfId="0" applyBorder="1"/>
    <xf numFmtId="0" fontId="0" fillId="0" borderId="8" xfId="0" applyBorder="1"/>
    <xf numFmtId="0" fontId="0" fillId="0" borderId="9" xfId="0" applyBorder="1"/>
    <xf numFmtId="0" fontId="1" fillId="0" borderId="0" xfId="3"/>
    <xf numFmtId="0" fontId="1" fillId="0" borderId="4" xfId="3" applyBorder="1"/>
    <xf numFmtId="0" fontId="12" fillId="0" borderId="6" xfId="4" applyFont="1" applyBorder="1" applyAlignment="1">
      <alignment horizontal="center"/>
    </xf>
    <xf numFmtId="0" fontId="1" fillId="0" borderId="0" xfId="3" applyAlignment="1">
      <alignment horizontal="center"/>
    </xf>
    <xf numFmtId="0" fontId="0" fillId="0" borderId="4" xfId="3" applyFont="1" applyBorder="1" applyAlignment="1">
      <alignment wrapText="1"/>
    </xf>
    <xf numFmtId="0" fontId="13" fillId="0" borderId="0" xfId="3" applyFont="1" applyAlignment="1">
      <alignment horizontal="center"/>
    </xf>
    <xf numFmtId="0" fontId="2" fillId="0" borderId="4" xfId="3" applyFont="1" applyBorder="1" applyAlignment="1">
      <alignment wrapText="1"/>
    </xf>
    <xf numFmtId="0" fontId="2" fillId="0" borderId="0" xfId="3" applyFont="1" applyAlignment="1">
      <alignment horizontal="center"/>
    </xf>
    <xf numFmtId="0" fontId="2" fillId="0" borderId="4" xfId="0" applyFont="1" applyBorder="1"/>
    <xf numFmtId="0" fontId="2" fillId="0" borderId="4" xfId="3" applyFont="1" applyBorder="1"/>
    <xf numFmtId="1" fontId="2" fillId="0" borderId="0" xfId="3" applyNumberFormat="1" applyFont="1" applyAlignment="1">
      <alignment horizontal="center"/>
    </xf>
    <xf numFmtId="0" fontId="0" fillId="0" borderId="4" xfId="3" applyFont="1" applyBorder="1"/>
    <xf numFmtId="1" fontId="1" fillId="0" borderId="0" xfId="3" applyNumberFormat="1" applyAlignment="1">
      <alignment horizontal="center"/>
    </xf>
    <xf numFmtId="0" fontId="1" fillId="0" borderId="7" xfId="3" applyBorder="1"/>
    <xf numFmtId="0" fontId="1" fillId="0" borderId="8" xfId="3" applyBorder="1"/>
    <xf numFmtId="9" fontId="1" fillId="0" borderId="8" xfId="3" applyNumberFormat="1" applyBorder="1" applyAlignment="1">
      <alignment horizontal="center"/>
    </xf>
    <xf numFmtId="0" fontId="13" fillId="2" borderId="6" xfId="3" applyFont="1" applyFill="1" applyBorder="1" applyAlignment="1" applyProtection="1">
      <alignment horizontal="center"/>
      <protection locked="0"/>
    </xf>
    <xf numFmtId="9" fontId="13" fillId="2" borderId="6" xfId="3" applyNumberFormat="1" applyFont="1" applyFill="1" applyBorder="1" applyAlignment="1" applyProtection="1">
      <alignment horizontal="center"/>
      <protection locked="0"/>
    </xf>
    <xf numFmtId="0" fontId="12" fillId="0" borderId="0" xfId="4" applyFont="1" applyAlignment="1">
      <alignment horizontal="center"/>
    </xf>
    <xf numFmtId="0" fontId="2" fillId="0" borderId="0" xfId="3" applyFont="1"/>
    <xf numFmtId="10" fontId="13" fillId="2" borderId="6" xfId="3" applyNumberFormat="1" applyFont="1" applyFill="1" applyBorder="1" applyAlignment="1">
      <alignment horizontal="center"/>
    </xf>
    <xf numFmtId="10" fontId="13" fillId="0" borderId="0" xfId="3" applyNumberFormat="1" applyFont="1" applyAlignment="1">
      <alignment horizontal="center"/>
    </xf>
    <xf numFmtId="0" fontId="0" fillId="0" borderId="0" xfId="3" applyFont="1"/>
    <xf numFmtId="10" fontId="1" fillId="0" borderId="0" xfId="3" applyNumberFormat="1" applyAlignment="1">
      <alignment horizontal="center"/>
    </xf>
    <xf numFmtId="10" fontId="2" fillId="0" borderId="0" xfId="3" applyNumberFormat="1" applyFont="1" applyAlignment="1">
      <alignment horizontal="center"/>
    </xf>
    <xf numFmtId="164" fontId="13" fillId="2" borderId="6" xfId="3" applyNumberFormat="1" applyFont="1" applyFill="1" applyBorder="1" applyAlignment="1">
      <alignment horizontal="center"/>
    </xf>
    <xf numFmtId="41" fontId="13" fillId="2" borderId="6" xfId="3" applyNumberFormat="1" applyFont="1" applyFill="1" applyBorder="1" applyAlignment="1">
      <alignment horizontal="center"/>
    </xf>
    <xf numFmtId="0" fontId="13" fillId="2" borderId="11" xfId="3" applyFont="1" applyFill="1" applyBorder="1"/>
    <xf numFmtId="164" fontId="1" fillId="0" borderId="0" xfId="3" applyNumberFormat="1"/>
    <xf numFmtId="41" fontId="13" fillId="0" borderId="0" xfId="3" applyNumberFormat="1" applyFont="1" applyAlignment="1">
      <alignment horizontal="center"/>
    </xf>
    <xf numFmtId="0" fontId="10" fillId="0" borderId="4" xfId="0" applyFont="1" applyBorder="1"/>
    <xf numFmtId="41" fontId="2" fillId="0" borderId="12" xfId="0" applyNumberFormat="1" applyFont="1" applyBorder="1" applyAlignment="1">
      <alignment horizontal="center"/>
    </xf>
    <xf numFmtId="41" fontId="2" fillId="0" borderId="0" xfId="0" applyNumberFormat="1" applyFont="1" applyAlignment="1">
      <alignment horizontal="center"/>
    </xf>
    <xf numFmtId="0" fontId="1" fillId="0" borderId="6" xfId="3" applyBorder="1" applyAlignment="1">
      <alignment horizontal="center"/>
    </xf>
    <xf numFmtId="0" fontId="13" fillId="0" borderId="0" xfId="3" applyFont="1"/>
    <xf numFmtId="41" fontId="1" fillId="0" borderId="6" xfId="3" applyNumberFormat="1" applyBorder="1" applyAlignment="1">
      <alignment horizontal="center"/>
    </xf>
    <xf numFmtId="2" fontId="2" fillId="0" borderId="0" xfId="3" applyNumberFormat="1" applyFont="1"/>
    <xf numFmtId="41" fontId="2" fillId="0" borderId="6" xfId="3" applyNumberFormat="1" applyFont="1" applyBorder="1" applyAlignment="1">
      <alignment horizontal="center"/>
    </xf>
    <xf numFmtId="41" fontId="2" fillId="0" borderId="0" xfId="3" applyNumberFormat="1" applyFont="1" applyAlignment="1">
      <alignment horizontal="center"/>
    </xf>
    <xf numFmtId="2" fontId="1" fillId="0" borderId="0" xfId="3" applyNumberFormat="1"/>
    <xf numFmtId="41" fontId="1" fillId="0" borderId="0" xfId="3" applyNumberFormat="1" applyAlignment="1">
      <alignment horizontal="center"/>
    </xf>
    <xf numFmtId="0" fontId="10" fillId="0" borderId="4" xfId="3" applyFont="1" applyBorder="1" applyAlignment="1">
      <alignment wrapText="1"/>
    </xf>
    <xf numFmtId="164" fontId="13" fillId="2" borderId="6" xfId="3" applyNumberFormat="1" applyFont="1" applyFill="1" applyBorder="1" applyAlignment="1" applyProtection="1">
      <alignment horizontal="center"/>
      <protection locked="0"/>
    </xf>
    <xf numFmtId="41" fontId="13" fillId="2" borderId="6" xfId="3" applyNumberFormat="1" applyFont="1" applyFill="1" applyBorder="1" applyAlignment="1" applyProtection="1">
      <alignment horizontal="center"/>
      <protection locked="0"/>
    </xf>
    <xf numFmtId="0" fontId="13" fillId="2" borderId="11" xfId="3" applyFont="1" applyFill="1" applyBorder="1" applyProtection="1">
      <protection locked="0"/>
    </xf>
    <xf numFmtId="2" fontId="13" fillId="2" borderId="6" xfId="3" applyNumberFormat="1" applyFont="1" applyFill="1" applyBorder="1" applyProtection="1">
      <protection locked="0"/>
    </xf>
    <xf numFmtId="10" fontId="13" fillId="2" borderId="6" xfId="3" applyNumberFormat="1" applyFont="1" applyFill="1" applyBorder="1" applyAlignment="1" applyProtection="1">
      <alignment horizontal="center"/>
      <protection locked="0"/>
    </xf>
    <xf numFmtId="0" fontId="2" fillId="0" borderId="0" xfId="0" applyFont="1" applyAlignment="1">
      <alignment horizontal="center"/>
    </xf>
    <xf numFmtId="0" fontId="0" fillId="3" borderId="0" xfId="0" applyFill="1"/>
    <xf numFmtId="0" fontId="2" fillId="0" borderId="13" xfId="4" applyFont="1" applyBorder="1" applyAlignment="1">
      <alignment horizontal="center"/>
    </xf>
    <xf numFmtId="0" fontId="2" fillId="0" borderId="0" xfId="4" applyFont="1" applyAlignment="1">
      <alignment horizontal="center"/>
    </xf>
    <xf numFmtId="0" fontId="1" fillId="0" borderId="6" xfId="4" applyFont="1" applyBorder="1" applyAlignment="1">
      <alignment horizontal="center"/>
    </xf>
    <xf numFmtId="10" fontId="0" fillId="0" borderId="6" xfId="3" applyNumberFormat="1" applyFont="1" applyBorder="1" applyAlignment="1">
      <alignment horizontal="center"/>
    </xf>
    <xf numFmtId="10" fontId="0" fillId="0" borderId="0" xfId="3" applyNumberFormat="1" applyFont="1" applyAlignment="1">
      <alignment horizontal="center"/>
    </xf>
    <xf numFmtId="41" fontId="0" fillId="0" borderId="0" xfId="3" applyNumberFormat="1" applyFont="1" applyAlignment="1">
      <alignment horizontal="center"/>
    </xf>
    <xf numFmtId="41" fontId="0" fillId="0" borderId="14" xfId="3" applyNumberFormat="1" applyFont="1" applyBorder="1" applyAlignment="1">
      <alignment horizontal="center"/>
    </xf>
    <xf numFmtId="41" fontId="2" fillId="0" borderId="12" xfId="3" applyNumberFormat="1" applyFont="1" applyBorder="1" applyAlignment="1">
      <alignment horizontal="center"/>
    </xf>
    <xf numFmtId="164" fontId="13" fillId="0" borderId="0" xfId="3" applyNumberFormat="1" applyFont="1" applyAlignment="1">
      <alignment horizontal="center"/>
    </xf>
    <xf numFmtId="164" fontId="0" fillId="0" borderId="0" xfId="3" applyNumberFormat="1" applyFont="1"/>
    <xf numFmtId="41" fontId="0" fillId="0" borderId="6" xfId="3" applyNumberFormat="1" applyFont="1" applyBorder="1" applyAlignment="1">
      <alignment horizontal="center"/>
    </xf>
    <xf numFmtId="0" fontId="2" fillId="0" borderId="6" xfId="4" applyFont="1" applyBorder="1" applyAlignment="1">
      <alignment horizontal="center"/>
    </xf>
    <xf numFmtId="0" fontId="0" fillId="0" borderId="6" xfId="3" applyFont="1" applyBorder="1" applyAlignment="1">
      <alignment horizontal="center"/>
    </xf>
    <xf numFmtId="0" fontId="0" fillId="0" borderId="0" xfId="3" applyFont="1" applyAlignment="1">
      <alignment horizontal="center"/>
    </xf>
    <xf numFmtId="2" fontId="0" fillId="0" borderId="0" xfId="3" applyNumberFormat="1" applyFont="1"/>
    <xf numFmtId="0" fontId="2" fillId="0" borderId="0" xfId="0" applyFont="1"/>
    <xf numFmtId="0" fontId="0" fillId="0" borderId="6" xfId="4" applyFont="1" applyBorder="1" applyAlignment="1">
      <alignment horizontal="center"/>
    </xf>
    <xf numFmtId="164" fontId="0" fillId="0" borderId="0" xfId="3" applyNumberFormat="1" applyFont="1" applyAlignment="1">
      <alignment horizontal="center"/>
    </xf>
    <xf numFmtId="41" fontId="2" fillId="0" borderId="6" xfId="3" applyNumberFormat="1" applyFont="1" applyBorder="1" applyAlignment="1" applyProtection="1">
      <alignment horizontal="center"/>
      <protection locked="0"/>
    </xf>
    <xf numFmtId="41" fontId="0" fillId="0" borderId="0" xfId="3" applyNumberFormat="1" applyFont="1" applyAlignment="1" applyProtection="1">
      <alignment horizontal="center"/>
      <protection locked="0"/>
    </xf>
    <xf numFmtId="2" fontId="0" fillId="0" borderId="0" xfId="3" applyNumberFormat="1" applyFont="1" applyProtection="1">
      <protection locked="0"/>
    </xf>
    <xf numFmtId="2" fontId="13" fillId="2" borderId="6" xfId="3" applyNumberFormat="1" applyFont="1" applyFill="1" applyBorder="1" applyAlignment="1" applyProtection="1">
      <alignment horizontal="center"/>
      <protection locked="0"/>
    </xf>
    <xf numFmtId="10" fontId="0" fillId="2" borderId="6" xfId="3" applyNumberFormat="1" applyFont="1" applyFill="1" applyBorder="1" applyAlignment="1">
      <alignment horizontal="center"/>
    </xf>
    <xf numFmtId="0" fontId="1" fillId="0" borderId="4" xfId="3" applyBorder="1" applyAlignment="1" applyProtection="1">
      <alignment wrapText="1"/>
      <protection locked="0"/>
    </xf>
    <xf numFmtId="0" fontId="0" fillId="4" borderId="10" xfId="0" applyFill="1" applyBorder="1"/>
    <xf numFmtId="0" fontId="2" fillId="0" borderId="6" xfId="3" applyFont="1" applyBorder="1" applyAlignment="1">
      <alignment horizontal="center"/>
    </xf>
    <xf numFmtId="9" fontId="1" fillId="0" borderId="6" xfId="3" applyNumberFormat="1" applyBorder="1" applyAlignment="1">
      <alignment horizontal="center"/>
    </xf>
    <xf numFmtId="0" fontId="2" fillId="0" borderId="6" xfId="0" applyFont="1" applyBorder="1" applyAlignment="1">
      <alignment horizontal="center"/>
    </xf>
    <xf numFmtId="2" fontId="2" fillId="0" borderId="6" xfId="3" applyNumberFormat="1" applyFont="1" applyBorder="1" applyAlignment="1">
      <alignment horizontal="center"/>
    </xf>
    <xf numFmtId="41" fontId="13" fillId="0" borderId="0" xfId="3" applyNumberFormat="1" applyFont="1" applyAlignment="1" applyProtection="1">
      <alignment horizontal="center"/>
      <protection locked="0"/>
    </xf>
    <xf numFmtId="0" fontId="13" fillId="0" borderId="0" xfId="3" applyFont="1" applyAlignment="1" applyProtection="1">
      <alignment horizontal="center"/>
      <protection locked="0"/>
    </xf>
    <xf numFmtId="9" fontId="13" fillId="0" borderId="0" xfId="3" applyNumberFormat="1" applyFont="1" applyAlignment="1" applyProtection="1">
      <alignment horizontal="center"/>
      <protection locked="0"/>
    </xf>
    <xf numFmtId="9" fontId="1" fillId="0" borderId="0" xfId="3" applyNumberFormat="1" applyAlignment="1">
      <alignment horizontal="center"/>
    </xf>
    <xf numFmtId="10" fontId="13" fillId="0" borderId="0" xfId="3" applyNumberFormat="1" applyFont="1" applyAlignment="1" applyProtection="1">
      <alignment horizontal="center"/>
      <protection locked="0"/>
    </xf>
    <xf numFmtId="41" fontId="13" fillId="4" borderId="6" xfId="3" applyNumberFormat="1" applyFont="1" applyFill="1" applyBorder="1" applyAlignment="1" applyProtection="1">
      <alignment horizontal="left"/>
      <protection locked="0"/>
    </xf>
    <xf numFmtId="41" fontId="0" fillId="4" borderId="6" xfId="3" applyNumberFormat="1" applyFont="1" applyFill="1" applyBorder="1" applyAlignment="1" applyProtection="1">
      <alignment horizontal="left"/>
      <protection locked="0"/>
    </xf>
    <xf numFmtId="41" fontId="13" fillId="0" borderId="0" xfId="3" applyNumberFormat="1" applyFont="1" applyAlignment="1">
      <alignment horizontal="left"/>
    </xf>
    <xf numFmtId="41" fontId="2" fillId="0" borderId="0" xfId="3" applyNumberFormat="1" applyFont="1" applyAlignment="1">
      <alignment horizontal="left"/>
    </xf>
    <xf numFmtId="41" fontId="1" fillId="0" borderId="0" xfId="3" applyNumberFormat="1" applyAlignment="1">
      <alignment horizontal="left"/>
    </xf>
    <xf numFmtId="2" fontId="1" fillId="0" borderId="0" xfId="3" applyNumberFormat="1" applyAlignment="1">
      <alignment horizontal="left"/>
    </xf>
    <xf numFmtId="41" fontId="2" fillId="0" borderId="0" xfId="0" applyNumberFormat="1" applyFont="1" applyAlignment="1">
      <alignment horizontal="left"/>
    </xf>
    <xf numFmtId="41" fontId="13" fillId="0" borderId="6" xfId="3" applyNumberFormat="1" applyFont="1" applyBorder="1" applyAlignment="1">
      <alignment horizontal="left"/>
    </xf>
    <xf numFmtId="41" fontId="1" fillId="4" borderId="6" xfId="3" applyNumberFormat="1" applyFill="1" applyBorder="1" applyAlignment="1" applyProtection="1">
      <alignment horizontal="left"/>
      <protection locked="0"/>
    </xf>
    <xf numFmtId="41" fontId="1" fillId="0" borderId="0" xfId="3" applyNumberFormat="1" applyAlignment="1" applyProtection="1">
      <alignment horizontal="left"/>
      <protection locked="0"/>
    </xf>
    <xf numFmtId="41" fontId="2" fillId="0" borderId="0" xfId="3" applyNumberFormat="1" applyFont="1" applyAlignment="1" applyProtection="1">
      <alignment horizontal="left"/>
      <protection locked="0"/>
    </xf>
    <xf numFmtId="41" fontId="0" fillId="0" borderId="0" xfId="3" applyNumberFormat="1" applyFont="1" applyAlignment="1" applyProtection="1">
      <alignment horizontal="left"/>
      <protection locked="0"/>
    </xf>
    <xf numFmtId="2" fontId="0" fillId="0" borderId="0" xfId="3" applyNumberFormat="1" applyFont="1" applyAlignment="1" applyProtection="1">
      <alignment horizontal="left"/>
      <protection locked="0"/>
    </xf>
    <xf numFmtId="41" fontId="2" fillId="0" borderId="0" xfId="4" applyNumberFormat="1" applyFont="1" applyAlignment="1">
      <alignment horizontal="center"/>
    </xf>
    <xf numFmtId="41" fontId="2" fillId="0" borderId="15" xfId="4" applyNumberFormat="1" applyFont="1" applyBorder="1" applyAlignment="1">
      <alignment horizontal="center"/>
    </xf>
    <xf numFmtId="0" fontId="0" fillId="0" borderId="7" xfId="3" applyFont="1" applyBorder="1"/>
    <xf numFmtId="41" fontId="0" fillId="0" borderId="0" xfId="0" applyNumberFormat="1"/>
    <xf numFmtId="41" fontId="17" fillId="3" borderId="0" xfId="1" applyNumberFormat="1" applyFont="1" applyFill="1" applyAlignment="1">
      <alignment horizontal="center" vertical="center" wrapText="1"/>
    </xf>
    <xf numFmtId="0" fontId="2" fillId="0" borderId="7" xfId="3" applyFont="1" applyBorder="1"/>
    <xf numFmtId="0" fontId="2" fillId="0" borderId="8" xfId="3" applyFont="1" applyBorder="1" applyAlignment="1">
      <alignment horizontal="center"/>
    </xf>
    <xf numFmtId="0" fontId="1" fillId="0" borderId="1" xfId="3" applyBorder="1"/>
    <xf numFmtId="0" fontId="1" fillId="0" borderId="2" xfId="3" applyBorder="1"/>
    <xf numFmtId="0" fontId="1" fillId="0" borderId="2" xfId="3" applyBorder="1" applyAlignment="1">
      <alignment horizontal="center"/>
    </xf>
    <xf numFmtId="0" fontId="10" fillId="0" borderId="7" xfId="0" applyFont="1" applyBorder="1"/>
    <xf numFmtId="41" fontId="13" fillId="0" borderId="17" xfId="3" applyNumberFormat="1" applyFont="1" applyBorder="1" applyAlignment="1">
      <alignment horizontal="center"/>
    </xf>
    <xf numFmtId="0" fontId="2" fillId="0" borderId="1" xfId="0" applyFont="1" applyBorder="1"/>
    <xf numFmtId="0" fontId="0" fillId="0" borderId="2" xfId="0" applyBorder="1" applyAlignment="1">
      <alignment horizontal="center"/>
    </xf>
    <xf numFmtId="0" fontId="1" fillId="0" borderId="8" xfId="3" applyBorder="1" applyAlignment="1">
      <alignment horizontal="center"/>
    </xf>
    <xf numFmtId="0" fontId="2" fillId="0" borderId="7" xfId="3" applyFont="1" applyBorder="1" applyAlignment="1">
      <alignment wrapText="1"/>
    </xf>
    <xf numFmtId="0" fontId="2" fillId="0" borderId="8" xfId="3" applyFont="1" applyBorder="1"/>
    <xf numFmtId="41" fontId="2" fillId="0" borderId="8" xfId="0" applyNumberFormat="1" applyFont="1" applyBorder="1" applyAlignment="1">
      <alignment horizontal="center"/>
    </xf>
    <xf numFmtId="0" fontId="2" fillId="0" borderId="1" xfId="3" applyFont="1" applyBorder="1" applyAlignment="1">
      <alignment wrapText="1"/>
    </xf>
    <xf numFmtId="0" fontId="2" fillId="0" borderId="2" xfId="3" applyFont="1" applyBorder="1"/>
    <xf numFmtId="41" fontId="2" fillId="0" borderId="2" xfId="0" applyNumberFormat="1" applyFont="1" applyBorder="1" applyAlignment="1">
      <alignment horizontal="center"/>
    </xf>
    <xf numFmtId="41" fontId="2" fillId="0" borderId="8" xfId="0" applyNumberFormat="1" applyFont="1" applyBorder="1" applyAlignment="1">
      <alignment horizontal="left"/>
    </xf>
    <xf numFmtId="41" fontId="2" fillId="0" borderId="2" xfId="0" applyNumberFormat="1" applyFont="1" applyBorder="1" applyAlignment="1">
      <alignment horizontal="left"/>
    </xf>
    <xf numFmtId="0" fontId="0" fillId="0" borderId="1" xfId="3" applyFont="1" applyBorder="1"/>
    <xf numFmtId="0" fontId="0" fillId="0" borderId="2" xfId="3" applyFont="1" applyBorder="1"/>
    <xf numFmtId="0" fontId="14" fillId="0" borderId="2" xfId="4" applyFont="1" applyBorder="1" applyAlignment="1">
      <alignment horizontal="left"/>
    </xf>
    <xf numFmtId="10" fontId="0" fillId="0" borderId="2" xfId="3" applyNumberFormat="1" applyFont="1" applyBorder="1" applyAlignment="1">
      <alignment horizontal="center"/>
    </xf>
    <xf numFmtId="0" fontId="2" fillId="0" borderId="7" xfId="0" applyFont="1" applyBorder="1"/>
    <xf numFmtId="0" fontId="0" fillId="0" borderId="8" xfId="0" applyBorder="1" applyAlignment="1">
      <alignment horizontal="center"/>
    </xf>
    <xf numFmtId="0" fontId="0" fillId="0" borderId="8" xfId="3" applyFont="1" applyBorder="1"/>
    <xf numFmtId="0" fontId="14" fillId="0" borderId="8" xfId="4" applyFont="1" applyBorder="1" applyAlignment="1">
      <alignment horizontal="left"/>
    </xf>
    <xf numFmtId="10" fontId="0" fillId="0" borderId="8" xfId="3" applyNumberFormat="1" applyFont="1" applyBorder="1" applyAlignment="1">
      <alignment horizontal="center"/>
    </xf>
    <xf numFmtId="41" fontId="2" fillId="0" borderId="16" xfId="3" applyNumberFormat="1" applyFont="1" applyBorder="1" applyAlignment="1">
      <alignment horizontal="center"/>
    </xf>
    <xf numFmtId="0" fontId="11" fillId="0" borderId="2" xfId="4" applyFont="1" applyBorder="1" applyAlignment="1">
      <alignment horizontal="left"/>
    </xf>
    <xf numFmtId="0" fontId="12" fillId="0" borderId="2" xfId="4" applyFont="1" applyBorder="1" applyAlignment="1">
      <alignment horizontal="center"/>
    </xf>
    <xf numFmtId="2" fontId="2" fillId="0" borderId="16" xfId="3" applyNumberFormat="1" applyFont="1" applyBorder="1" applyAlignment="1">
      <alignment horizontal="center"/>
    </xf>
    <xf numFmtId="41" fontId="2" fillId="0" borderId="16" xfId="0" applyNumberFormat="1" applyFont="1" applyBorder="1" applyAlignment="1">
      <alignment horizontal="center"/>
    </xf>
    <xf numFmtId="0" fontId="0" fillId="0" borderId="8" xfId="3" applyFont="1" applyBorder="1" applyAlignment="1">
      <alignment horizontal="center"/>
    </xf>
    <xf numFmtId="0" fontId="2" fillId="0" borderId="5" xfId="3" applyFont="1" applyBorder="1"/>
    <xf numFmtId="41" fontId="13" fillId="0" borderId="6" xfId="3" applyNumberFormat="1" applyFont="1" applyBorder="1" applyAlignment="1" applyProtection="1">
      <alignment horizontal="center"/>
      <protection locked="0"/>
    </xf>
    <xf numFmtId="10" fontId="13" fillId="2" borderId="6" xfId="3" quotePrefix="1" applyNumberFormat="1" applyFont="1" applyFill="1" applyBorder="1" applyAlignment="1" applyProtection="1">
      <alignment horizontal="center"/>
      <protection locked="0"/>
    </xf>
    <xf numFmtId="41" fontId="13" fillId="4" borderId="6" xfId="3" quotePrefix="1" applyNumberFormat="1" applyFont="1" applyFill="1" applyBorder="1" applyAlignment="1" applyProtection="1">
      <alignment horizontal="left"/>
      <protection locked="0"/>
    </xf>
    <xf numFmtId="0" fontId="0" fillId="0" borderId="6" xfId="0" applyBorder="1" applyAlignment="1">
      <alignment horizontal="center"/>
    </xf>
    <xf numFmtId="0" fontId="0" fillId="0" borderId="0" xfId="0" applyAlignment="1">
      <alignment wrapText="1"/>
    </xf>
    <xf numFmtId="0" fontId="21" fillId="0" borderId="0" xfId="0" applyFont="1"/>
    <xf numFmtId="0" fontId="22" fillId="0" borderId="0" xfId="0" applyFont="1"/>
    <xf numFmtId="0" fontId="25" fillId="0" borderId="0" xfId="8" applyFont="1" applyAlignment="1">
      <alignment horizontal="left"/>
    </xf>
    <xf numFmtId="165" fontId="0" fillId="0" borderId="0" xfId="6" applyNumberFormat="1" applyFont="1"/>
    <xf numFmtId="0" fontId="26" fillId="0" borderId="0" xfId="8" applyFont="1" applyAlignment="1">
      <alignment horizontal="left"/>
    </xf>
    <xf numFmtId="0" fontId="27" fillId="0" borderId="0" xfId="9" applyFont="1"/>
    <xf numFmtId="165" fontId="28" fillId="5" borderId="18" xfId="6" applyNumberFormat="1" applyFont="1" applyFill="1" applyBorder="1" applyAlignment="1">
      <alignment horizontal="center"/>
    </xf>
    <xf numFmtId="0" fontId="28" fillId="5" borderId="18" xfId="8" applyFont="1" applyFill="1" applyBorder="1" applyAlignment="1">
      <alignment horizontal="center"/>
    </xf>
    <xf numFmtId="0" fontId="29" fillId="5" borderId="18" xfId="8" applyFont="1" applyFill="1" applyBorder="1" applyAlignment="1">
      <alignment horizontal="center"/>
    </xf>
    <xf numFmtId="0" fontId="24" fillId="0" borderId="0" xfId="8" applyAlignment="1">
      <alignment horizontal="center"/>
    </xf>
    <xf numFmtId="0" fontId="30" fillId="6" borderId="0" xfId="8" applyFont="1" applyFill="1" applyAlignment="1">
      <alignment horizontal="left"/>
    </xf>
    <xf numFmtId="166" fontId="30" fillId="6" borderId="0" xfId="5" applyNumberFormat="1" applyFont="1" applyFill="1" applyAlignment="1">
      <alignment horizontal="left"/>
    </xf>
    <xf numFmtId="0" fontId="30" fillId="7" borderId="0" xfId="8" applyFont="1" applyFill="1" applyAlignment="1">
      <alignment horizontal="left"/>
    </xf>
    <xf numFmtId="165" fontId="30" fillId="7" borderId="0" xfId="6" applyNumberFormat="1" applyFont="1" applyFill="1" applyAlignment="1">
      <alignment horizontal="left"/>
    </xf>
    <xf numFmtId="0" fontId="31" fillId="8" borderId="0" xfId="8" applyFont="1" applyFill="1" applyAlignment="1">
      <alignment horizontal="left"/>
    </xf>
    <xf numFmtId="167" fontId="31" fillId="8" borderId="0" xfId="7" applyNumberFormat="1" applyFont="1" applyFill="1" applyBorder="1" applyAlignment="1"/>
    <xf numFmtId="0" fontId="32" fillId="0" borderId="0" xfId="8" applyFont="1"/>
    <xf numFmtId="168" fontId="32" fillId="0" borderId="0" xfId="6" applyNumberFormat="1" applyFont="1" applyBorder="1"/>
    <xf numFmtId="0" fontId="33" fillId="9" borderId="19" xfId="8" applyFont="1" applyFill="1" applyBorder="1" applyProtection="1">
      <protection locked="0"/>
    </xf>
    <xf numFmtId="168" fontId="32" fillId="9" borderId="20" xfId="6" applyNumberFormat="1" applyFont="1" applyFill="1" applyBorder="1" applyProtection="1">
      <protection locked="0"/>
    </xf>
    <xf numFmtId="0" fontId="34" fillId="9" borderId="4" xfId="8" applyFont="1" applyFill="1" applyBorder="1" applyProtection="1">
      <protection locked="0"/>
    </xf>
    <xf numFmtId="165" fontId="34" fillId="9" borderId="0" xfId="6" applyNumberFormat="1" applyFont="1" applyFill="1" applyBorder="1" applyProtection="1"/>
    <xf numFmtId="0" fontId="35" fillId="9" borderId="4" xfId="8" applyFont="1" applyFill="1" applyBorder="1" applyProtection="1">
      <protection locked="0"/>
    </xf>
    <xf numFmtId="165" fontId="36" fillId="9" borderId="0" xfId="6" applyNumberFormat="1" applyFont="1" applyFill="1" applyBorder="1" applyProtection="1"/>
    <xf numFmtId="165" fontId="34" fillId="9" borderId="0" xfId="6" applyNumberFormat="1" applyFont="1" applyFill="1" applyBorder="1" applyAlignment="1" applyProtection="1">
      <alignment horizontal="center"/>
    </xf>
    <xf numFmtId="165" fontId="34" fillId="9" borderId="0" xfId="10" applyNumberFormat="1" applyFont="1" applyFill="1" applyBorder="1" applyAlignment="1" applyProtection="1">
      <alignment horizontal="center"/>
    </xf>
    <xf numFmtId="165" fontId="37" fillId="9" borderId="0" xfId="10" applyNumberFormat="1" applyFont="1" applyFill="1" applyBorder="1" applyAlignment="1" applyProtection="1">
      <alignment horizontal="center"/>
    </xf>
    <xf numFmtId="9" fontId="34" fillId="9" borderId="0" xfId="7" applyFont="1" applyFill="1" applyBorder="1" applyProtection="1"/>
    <xf numFmtId="0" fontId="38" fillId="0" borderId="0" xfId="8" applyFont="1" applyAlignment="1">
      <alignment horizontal="center"/>
    </xf>
    <xf numFmtId="0" fontId="39" fillId="9" borderId="7" xfId="8" applyFont="1" applyFill="1" applyBorder="1" applyProtection="1">
      <protection locked="0"/>
    </xf>
    <xf numFmtId="165" fontId="39" fillId="9" borderId="8" xfId="6" applyNumberFormat="1" applyFont="1" applyFill="1" applyBorder="1" applyProtection="1"/>
    <xf numFmtId="0" fontId="14" fillId="0" borderId="0" xfId="0" applyFont="1"/>
    <xf numFmtId="0" fontId="40" fillId="0" borderId="0" xfId="8" applyFont="1" applyAlignment="1">
      <alignment horizontal="center"/>
    </xf>
    <xf numFmtId="165" fontId="40" fillId="0" borderId="0" xfId="6" applyNumberFormat="1" applyFont="1" applyAlignment="1">
      <alignment horizontal="center"/>
    </xf>
    <xf numFmtId="0" fontId="40" fillId="0" borderId="0" xfId="8" applyFont="1"/>
    <xf numFmtId="165" fontId="40" fillId="0" borderId="0" xfId="6" applyNumberFormat="1" applyFont="1"/>
    <xf numFmtId="0" fontId="24" fillId="0" borderId="0" xfId="8" applyAlignment="1">
      <alignment horizontal="left" indent="1"/>
    </xf>
    <xf numFmtId="166" fontId="41" fillId="0" borderId="0" xfId="5" applyNumberFormat="1" applyFont="1" applyFill="1" applyAlignment="1"/>
    <xf numFmtId="165" fontId="38" fillId="0" borderId="20" xfId="8" applyNumberFormat="1" applyFont="1" applyBorder="1"/>
    <xf numFmtId="166" fontId="38" fillId="0" borderId="20" xfId="5" applyNumberFormat="1" applyFont="1" applyBorder="1"/>
    <xf numFmtId="0" fontId="42" fillId="0" borderId="0" xfId="8" applyFont="1"/>
    <xf numFmtId="165" fontId="42" fillId="0" borderId="0" xfId="6" applyNumberFormat="1" applyFont="1"/>
    <xf numFmtId="165" fontId="38" fillId="0" borderId="0" xfId="6" applyNumberFormat="1" applyFont="1" applyFill="1" applyAlignment="1"/>
    <xf numFmtId="166" fontId="38" fillId="0" borderId="0" xfId="11" applyNumberFormat="1" applyFont="1" applyFill="1" applyAlignment="1"/>
    <xf numFmtId="169" fontId="38" fillId="0" borderId="0" xfId="11" applyNumberFormat="1" applyFont="1" applyFill="1" applyAlignment="1"/>
    <xf numFmtId="169" fontId="38" fillId="0" borderId="0" xfId="11" applyNumberFormat="1" applyFont="1"/>
    <xf numFmtId="170" fontId="24" fillId="0" borderId="0" xfId="5" applyNumberFormat="1" applyFont="1" applyAlignment="1">
      <alignment horizontal="left" indent="1"/>
    </xf>
    <xf numFmtId="165" fontId="24" fillId="0" borderId="0" xfId="6" applyNumberFormat="1" applyFont="1" applyAlignment="1">
      <alignment horizontal="left" indent="1"/>
    </xf>
    <xf numFmtId="165" fontId="41" fillId="0" borderId="0" xfId="6" applyNumberFormat="1" applyFont="1" applyFill="1" applyBorder="1" applyAlignment="1"/>
    <xf numFmtId="170" fontId="41" fillId="0" borderId="0" xfId="11" applyNumberFormat="1" applyFont="1" applyFill="1" applyBorder="1" applyAlignment="1"/>
    <xf numFmtId="170" fontId="38" fillId="0" borderId="20" xfId="5" applyNumberFormat="1" applyFont="1" applyBorder="1"/>
    <xf numFmtId="0" fontId="40" fillId="0" borderId="0" xfId="8" applyFont="1" applyAlignment="1">
      <alignment horizontal="left" indent="1"/>
    </xf>
    <xf numFmtId="165" fontId="40" fillId="0" borderId="0" xfId="6" applyNumberFormat="1" applyFont="1" applyAlignment="1">
      <alignment horizontal="left" indent="1"/>
    </xf>
    <xf numFmtId="165" fontId="41" fillId="0" borderId="0" xfId="6" applyNumberFormat="1" applyFont="1" applyFill="1" applyAlignment="1"/>
    <xf numFmtId="169" fontId="41" fillId="0" borderId="0" xfId="11" applyNumberFormat="1" applyFont="1" applyFill="1" applyAlignment="1"/>
    <xf numFmtId="169" fontId="41" fillId="0" borderId="0" xfId="11" applyNumberFormat="1" applyFont="1"/>
    <xf numFmtId="0" fontId="42" fillId="0" borderId="0" xfId="8" applyFont="1" applyAlignment="1">
      <alignment horizontal="left" indent="2"/>
    </xf>
    <xf numFmtId="170" fontId="42" fillId="0" borderId="0" xfId="5" applyNumberFormat="1" applyFont="1" applyAlignment="1">
      <alignment horizontal="left" indent="2"/>
    </xf>
    <xf numFmtId="165" fontId="42" fillId="0" borderId="0" xfId="6" applyNumberFormat="1" applyFont="1" applyAlignment="1">
      <alignment horizontal="left" indent="2"/>
    </xf>
    <xf numFmtId="166" fontId="41" fillId="0" borderId="0" xfId="11" applyNumberFormat="1" applyFont="1" applyFill="1" applyAlignment="1"/>
    <xf numFmtId="166" fontId="41" fillId="0" borderId="0" xfId="11" applyNumberFormat="1" applyFont="1"/>
    <xf numFmtId="0" fontId="43" fillId="0" borderId="17" xfId="8" applyFont="1" applyBorder="1" applyAlignment="1">
      <alignment horizontal="left" indent="2"/>
    </xf>
    <xf numFmtId="168" fontId="44" fillId="0" borderId="21" xfId="11" applyNumberFormat="1" applyFont="1" applyFill="1" applyBorder="1" applyAlignment="1"/>
    <xf numFmtId="165" fontId="40" fillId="0" borderId="0" xfId="6" applyNumberFormat="1" applyFont="1" applyBorder="1"/>
    <xf numFmtId="0" fontId="45" fillId="0" borderId="0" xfId="8" applyFont="1"/>
    <xf numFmtId="165" fontId="46" fillId="0" borderId="0" xfId="6" applyNumberFormat="1" applyFont="1" applyFill="1" applyBorder="1" applyAlignment="1"/>
    <xf numFmtId="0" fontId="24" fillId="0" borderId="0" xfId="8"/>
    <xf numFmtId="165" fontId="47" fillId="0" borderId="0" xfId="6" applyNumberFormat="1" applyFont="1" applyFill="1" applyBorder="1" applyAlignment="1"/>
    <xf numFmtId="8" fontId="0" fillId="0" borderId="0" xfId="0" applyNumberFormat="1"/>
    <xf numFmtId="165" fontId="41" fillId="10" borderId="0" xfId="6" applyNumberFormat="1" applyFont="1" applyFill="1"/>
    <xf numFmtId="166" fontId="41" fillId="10" borderId="0" xfId="11" applyNumberFormat="1" applyFont="1" applyFill="1"/>
    <xf numFmtId="165" fontId="38" fillId="0" borderId="20" xfId="6" applyNumberFormat="1" applyFont="1" applyBorder="1"/>
    <xf numFmtId="0" fontId="22" fillId="0" borderId="0" xfId="0" applyFont="1" applyAlignment="1">
      <alignment horizontal="left" indent="1"/>
    </xf>
    <xf numFmtId="165" fontId="22" fillId="0" borderId="0" xfId="6" applyNumberFormat="1" applyFont="1"/>
    <xf numFmtId="0" fontId="48" fillId="0" borderId="0" xfId="0" applyFont="1"/>
    <xf numFmtId="165" fontId="2" fillId="0" borderId="0" xfId="6" applyNumberFormat="1" applyFont="1"/>
    <xf numFmtId="165" fontId="2" fillId="0" borderId="0" xfId="0" applyNumberFormat="1" applyFont="1"/>
    <xf numFmtId="0" fontId="0" fillId="0" borderId="0" xfId="0" applyAlignment="1">
      <alignment horizontal="left" indent="1"/>
    </xf>
    <xf numFmtId="165" fontId="0" fillId="0" borderId="0" xfId="6" applyNumberFormat="1" applyFont="1" applyAlignment="1">
      <alignment horizontal="left" indent="1"/>
    </xf>
    <xf numFmtId="0" fontId="2" fillId="0" borderId="0" xfId="0" applyFont="1" applyAlignment="1">
      <alignment horizontal="left" indent="1"/>
    </xf>
    <xf numFmtId="165" fontId="2" fillId="0" borderId="0" xfId="6" applyNumberFormat="1" applyFont="1" applyAlignment="1">
      <alignment horizontal="left" indent="1"/>
    </xf>
    <xf numFmtId="0" fontId="0" fillId="0" borderId="0" xfId="0" applyAlignment="1">
      <alignment horizontal="left" indent="2"/>
    </xf>
    <xf numFmtId="165" fontId="2" fillId="11" borderId="0" xfId="6" applyNumberFormat="1" applyFont="1" applyFill="1"/>
    <xf numFmtId="0" fontId="49" fillId="0" borderId="0" xfId="0" applyFont="1" applyAlignment="1">
      <alignment horizontal="left" indent="1"/>
    </xf>
    <xf numFmtId="9" fontId="49" fillId="0" borderId="0" xfId="0" applyNumberFormat="1" applyFont="1" applyAlignment="1">
      <alignment horizontal="right" indent="1"/>
    </xf>
    <xf numFmtId="165" fontId="50" fillId="0" borderId="0" xfId="6" applyNumberFormat="1" applyFont="1" applyAlignment="1">
      <alignment horizontal="left" indent="1"/>
    </xf>
    <xf numFmtId="165" fontId="23" fillId="0" borderId="0" xfId="6" applyNumberFormat="1" applyFont="1"/>
    <xf numFmtId="0" fontId="51" fillId="0" borderId="0" xfId="0" applyFont="1"/>
    <xf numFmtId="0" fontId="13" fillId="0" borderId="0" xfId="0" applyFont="1"/>
    <xf numFmtId="0" fontId="52" fillId="0" borderId="0" xfId="0" applyFont="1" applyAlignment="1">
      <alignment horizontal="left" indent="2"/>
    </xf>
    <xf numFmtId="165" fontId="52" fillId="0" borderId="0" xfId="6" applyNumberFormat="1" applyFont="1"/>
    <xf numFmtId="0" fontId="52" fillId="0" borderId="0" xfId="0" applyFont="1"/>
    <xf numFmtId="167" fontId="52" fillId="0" borderId="0" xfId="0" applyNumberFormat="1" applyFont="1"/>
    <xf numFmtId="0" fontId="0" fillId="0" borderId="0" xfId="0" applyAlignment="1">
      <alignment horizontal="right"/>
    </xf>
    <xf numFmtId="0" fontId="22" fillId="0" borderId="0" xfId="0" applyFont="1" applyAlignment="1">
      <alignment horizontal="right"/>
    </xf>
    <xf numFmtId="9" fontId="22" fillId="0" borderId="0" xfId="0" applyNumberFormat="1" applyFont="1"/>
    <xf numFmtId="9" fontId="0" fillId="0" borderId="0" xfId="7" applyFont="1"/>
    <xf numFmtId="171" fontId="0" fillId="0" borderId="0" xfId="6" applyNumberFormat="1" applyFont="1"/>
    <xf numFmtId="165" fontId="0" fillId="0" borderId="0" xfId="0" applyNumberFormat="1"/>
    <xf numFmtId="165" fontId="53" fillId="0" borderId="0" xfId="6" applyNumberFormat="1" applyFont="1"/>
    <xf numFmtId="165" fontId="53" fillId="0" borderId="0" xfId="0" applyNumberFormat="1" applyFont="1"/>
    <xf numFmtId="0" fontId="54" fillId="0" borderId="0" xfId="0" applyFont="1"/>
    <xf numFmtId="0" fontId="0" fillId="0" borderId="8" xfId="0" applyBorder="1" applyAlignment="1">
      <alignment horizontal="left" indent="2"/>
    </xf>
    <xf numFmtId="44" fontId="0" fillId="0" borderId="8" xfId="0" applyNumberFormat="1" applyBorder="1"/>
    <xf numFmtId="0" fontId="2" fillId="0" borderId="14" xfId="0" applyFont="1" applyBorder="1" applyAlignment="1">
      <alignment horizontal="left"/>
    </xf>
    <xf numFmtId="44" fontId="0" fillId="0" borderId="14" xfId="0" applyNumberFormat="1" applyBorder="1"/>
    <xf numFmtId="165" fontId="0" fillId="0" borderId="14" xfId="6" applyNumberFormat="1" applyFont="1" applyBorder="1"/>
    <xf numFmtId="165" fontId="2" fillId="0" borderId="14" xfId="6" applyNumberFormat="1" applyFont="1" applyBorder="1" applyAlignment="1">
      <alignment horizontal="left" indent="1"/>
    </xf>
    <xf numFmtId="172" fontId="2" fillId="0" borderId="14" xfId="6" applyNumberFormat="1" applyFont="1" applyBorder="1" applyAlignment="1">
      <alignment horizontal="left"/>
    </xf>
    <xf numFmtId="44" fontId="0" fillId="0" borderId="0" xfId="0" applyNumberFormat="1"/>
    <xf numFmtId="0" fontId="55" fillId="0" borderId="0" xfId="4" applyFont="1"/>
    <xf numFmtId="0" fontId="56" fillId="0" borderId="0" xfId="0" applyFont="1"/>
    <xf numFmtId="0" fontId="57" fillId="12" borderId="0" xfId="0" applyFont="1" applyFill="1" applyAlignment="1">
      <alignment horizontal="centerContinuous"/>
    </xf>
    <xf numFmtId="0" fontId="58" fillId="0" borderId="0" xfId="0" applyFont="1" applyAlignment="1">
      <alignment horizontal="center" vertical="center" wrapText="1"/>
    </xf>
    <xf numFmtId="0" fontId="55" fillId="13" borderId="6" xfId="0" applyFont="1" applyFill="1" applyBorder="1" applyAlignment="1">
      <alignment horizontal="center" vertical="center" wrapText="1"/>
    </xf>
    <xf numFmtId="0" fontId="59" fillId="14" borderId="22" xfId="0" applyFont="1" applyFill="1" applyBorder="1" applyAlignment="1">
      <alignment horizontal="left" vertical="center" wrapText="1"/>
    </xf>
    <xf numFmtId="0" fontId="59" fillId="0" borderId="0" xfId="0" applyFont="1" applyAlignment="1">
      <alignment horizontal="center" vertical="center" wrapText="1"/>
    </xf>
    <xf numFmtId="0" fontId="58" fillId="0" borderId="0" xfId="0" applyFont="1" applyAlignment="1">
      <alignment vertical="center"/>
    </xf>
    <xf numFmtId="0" fontId="60" fillId="0" borderId="0" xfId="0" applyFont="1" applyAlignment="1">
      <alignment horizontal="left" vertical="center" wrapText="1"/>
    </xf>
    <xf numFmtId="166" fontId="61" fillId="0" borderId="0" xfId="5" applyNumberFormat="1" applyFont="1" applyAlignment="1">
      <alignment horizontal="center" vertical="center" wrapText="1"/>
    </xf>
    <xf numFmtId="0" fontId="55" fillId="0" borderId="23" xfId="0" applyFont="1" applyBorder="1" applyAlignment="1">
      <alignment horizontal="left" vertical="center" wrapText="1"/>
    </xf>
    <xf numFmtId="166" fontId="55" fillId="0" borderId="23" xfId="0" applyNumberFormat="1" applyFont="1" applyBorder="1" applyAlignment="1">
      <alignment horizontal="right" vertical="center" wrapText="1"/>
    </xf>
    <xf numFmtId="0" fontId="61" fillId="0" borderId="11" xfId="0" applyFont="1" applyBorder="1" applyAlignment="1">
      <alignment horizontal="left" vertical="center" wrapText="1"/>
    </xf>
    <xf numFmtId="166" fontId="62" fillId="15" borderId="6" xfId="5" applyNumberFormat="1" applyFont="1" applyFill="1" applyBorder="1"/>
    <xf numFmtId="0" fontId="61" fillId="0" borderId="24" xfId="0" applyFont="1" applyBorder="1" applyAlignment="1">
      <alignment horizontal="left" vertical="center" wrapText="1"/>
    </xf>
    <xf numFmtId="166" fontId="62" fillId="15" borderId="16" xfId="5" applyNumberFormat="1" applyFont="1" applyFill="1" applyBorder="1"/>
    <xf numFmtId="166" fontId="2" fillId="0" borderId="0" xfId="0" applyNumberFormat="1" applyFont="1"/>
    <xf numFmtId="166" fontId="61" fillId="2" borderId="0" xfId="5" applyNumberFormat="1" applyFont="1" applyFill="1" applyAlignment="1">
      <alignment horizontal="center" vertical="center" wrapText="1"/>
    </xf>
    <xf numFmtId="0" fontId="55" fillId="13" borderId="0" xfId="0" applyFont="1" applyFill="1" applyAlignment="1">
      <alignment horizontal="center" vertical="center" wrapText="1"/>
    </xf>
    <xf numFmtId="0" fontId="63" fillId="0" borderId="0" xfId="0" applyFont="1" applyAlignment="1">
      <alignment horizontal="left" vertical="center"/>
    </xf>
    <xf numFmtId="0" fontId="61" fillId="0" borderId="0" xfId="0" applyFont="1" applyAlignment="1">
      <alignment horizontal="left" vertical="center"/>
    </xf>
    <xf numFmtId="169" fontId="61" fillId="16" borderId="0" xfId="0" applyNumberFormat="1" applyFont="1" applyFill="1" applyAlignment="1">
      <alignment horizontal="right" vertical="center" wrapText="1"/>
    </xf>
    <xf numFmtId="37" fontId="64" fillId="11" borderId="10" xfId="0" applyNumberFormat="1" applyFont="1" applyFill="1" applyBorder="1" applyAlignment="1">
      <alignment horizontal="center" vertical="center" wrapText="1"/>
    </xf>
    <xf numFmtId="169" fontId="64" fillId="16" borderId="0" xfId="0" applyNumberFormat="1" applyFont="1" applyFill="1" applyAlignment="1">
      <alignment horizontal="right" vertical="center" wrapText="1"/>
    </xf>
    <xf numFmtId="169" fontId="65" fillId="0" borderId="20" xfId="0" applyNumberFormat="1" applyFont="1" applyBorder="1" applyAlignment="1">
      <alignment horizontal="right" vertical="center" wrapText="1"/>
    </xf>
    <xf numFmtId="0" fontId="58" fillId="0" borderId="0" xfId="0" applyFont="1" applyAlignment="1">
      <alignment vertical="center" wrapText="1"/>
    </xf>
    <xf numFmtId="0" fontId="59" fillId="14" borderId="25" xfId="0" applyFont="1" applyFill="1" applyBorder="1" applyAlignment="1">
      <alignment horizontal="left" vertical="center" wrapText="1"/>
    </xf>
    <xf numFmtId="169" fontId="65" fillId="0" borderId="0" xfId="0" applyNumberFormat="1" applyFont="1" applyAlignment="1">
      <alignment horizontal="right" vertical="center" wrapText="1"/>
    </xf>
    <xf numFmtId="169" fontId="64" fillId="0" borderId="0" xfId="0" applyNumberFormat="1" applyFont="1" applyAlignment="1">
      <alignment horizontal="right" vertical="center" wrapText="1"/>
    </xf>
    <xf numFmtId="0" fontId="58" fillId="0" borderId="0" xfId="0" applyFont="1"/>
    <xf numFmtId="0" fontId="66" fillId="0" borderId="0" xfId="8" applyFont="1" applyAlignment="1">
      <alignment horizontal="left"/>
    </xf>
    <xf numFmtId="0" fontId="67" fillId="0" borderId="0" xfId="9" applyFont="1"/>
    <xf numFmtId="0" fontId="59" fillId="17" borderId="26" xfId="12" applyFont="1" applyFill="1" applyBorder="1" applyAlignment="1">
      <alignment horizontal="center"/>
    </xf>
    <xf numFmtId="0" fontId="59" fillId="17" borderId="27" xfId="12" applyFont="1" applyFill="1" applyBorder="1" applyAlignment="1">
      <alignment horizontal="center"/>
    </xf>
    <xf numFmtId="0" fontId="59" fillId="18" borderId="27" xfId="12" applyFont="1" applyFill="1" applyBorder="1" applyAlignment="1">
      <alignment horizontal="center"/>
    </xf>
    <xf numFmtId="0" fontId="59" fillId="18" borderId="28" xfId="12" applyFont="1" applyFill="1" applyBorder="1" applyAlignment="1">
      <alignment horizontal="center"/>
    </xf>
    <xf numFmtId="0" fontId="69" fillId="0" borderId="0" xfId="9" applyFont="1"/>
    <xf numFmtId="42" fontId="69" fillId="19" borderId="0" xfId="0" applyNumberFormat="1" applyFont="1" applyFill="1"/>
    <xf numFmtId="0" fontId="69" fillId="0" borderId="0" xfId="0" applyFont="1"/>
    <xf numFmtId="0" fontId="58" fillId="19" borderId="0" xfId="0" applyFont="1" applyFill="1"/>
    <xf numFmtId="0" fontId="57" fillId="5" borderId="0" xfId="0" applyFont="1" applyFill="1"/>
    <xf numFmtId="0" fontId="70" fillId="5" borderId="0" xfId="0" applyFont="1" applyFill="1"/>
    <xf numFmtId="0" fontId="70" fillId="20" borderId="0" xfId="0" applyFont="1" applyFill="1"/>
    <xf numFmtId="0" fontId="58" fillId="21" borderId="0" xfId="0" applyFont="1" applyFill="1"/>
    <xf numFmtId="0" fontId="59" fillId="22" borderId="10" xfId="12" applyFont="1" applyFill="1" applyBorder="1" applyAlignment="1">
      <alignment horizontal="left"/>
    </xf>
    <xf numFmtId="0" fontId="58" fillId="0" borderId="29" xfId="12" applyFont="1" applyBorder="1" applyAlignment="1">
      <alignment horizontal="left"/>
    </xf>
    <xf numFmtId="0" fontId="58" fillId="0" borderId="30" xfId="0" applyFont="1" applyBorder="1"/>
    <xf numFmtId="167" fontId="61" fillId="23" borderId="6" xfId="7" applyNumberFormat="1" applyFont="1" applyFill="1" applyBorder="1" applyAlignment="1" applyProtection="1"/>
    <xf numFmtId="167" fontId="61" fillId="23" borderId="6" xfId="7" applyNumberFormat="1" applyFont="1" applyFill="1" applyBorder="1"/>
    <xf numFmtId="167" fontId="64" fillId="23" borderId="6" xfId="7" applyNumberFormat="1" applyFont="1" applyFill="1" applyBorder="1" applyAlignment="1"/>
    <xf numFmtId="0" fontId="71" fillId="0" borderId="0" xfId="0" applyFont="1"/>
    <xf numFmtId="167" fontId="61" fillId="23" borderId="6" xfId="7" applyNumberFormat="1" applyFont="1" applyFill="1" applyBorder="1" applyAlignment="1"/>
    <xf numFmtId="0" fontId="58" fillId="0" borderId="31" xfId="12" applyFont="1" applyBorder="1" applyAlignment="1">
      <alignment horizontal="left"/>
    </xf>
    <xf numFmtId="0" fontId="72" fillId="0" borderId="0" xfId="12" applyFont="1" applyAlignment="1">
      <alignment vertical="top"/>
    </xf>
    <xf numFmtId="0" fontId="58" fillId="0" borderId="0" xfId="7" applyNumberFormat="1" applyFont="1"/>
    <xf numFmtId="0" fontId="58" fillId="0" borderId="32" xfId="0" applyFont="1" applyBorder="1"/>
    <xf numFmtId="165" fontId="61" fillId="0" borderId="33" xfId="6" applyNumberFormat="1" applyFont="1" applyFill="1" applyBorder="1" applyProtection="1"/>
    <xf numFmtId="165" fontId="61" fillId="24" borderId="33" xfId="6" applyNumberFormat="1" applyFont="1" applyFill="1" applyBorder="1" applyProtection="1"/>
    <xf numFmtId="0" fontId="58" fillId="0" borderId="34" xfId="0" applyFont="1" applyBorder="1"/>
    <xf numFmtId="0" fontId="58" fillId="0" borderId="31" xfId="0" applyFont="1" applyBorder="1"/>
    <xf numFmtId="42" fontId="64" fillId="0" borderId="6" xfId="6" applyNumberFormat="1" applyFont="1" applyFill="1" applyBorder="1" applyAlignment="1"/>
    <xf numFmtId="165" fontId="61" fillId="0" borderId="33" xfId="6" applyNumberFormat="1" applyFont="1" applyFill="1" applyBorder="1"/>
    <xf numFmtId="0" fontId="58" fillId="0" borderId="35" xfId="0" applyFont="1" applyBorder="1"/>
    <xf numFmtId="0" fontId="58" fillId="0" borderId="36" xfId="0" applyFont="1" applyBorder="1"/>
    <xf numFmtId="167" fontId="64" fillId="23" borderId="37" xfId="7" applyNumberFormat="1" applyFont="1" applyFill="1" applyBorder="1"/>
    <xf numFmtId="0" fontId="58" fillId="0" borderId="29" xfId="0" applyFont="1" applyBorder="1"/>
    <xf numFmtId="44" fontId="64" fillId="0" borderId="6" xfId="6" applyFont="1" applyFill="1" applyBorder="1" applyAlignment="1"/>
    <xf numFmtId="165" fontId="61" fillId="25" borderId="6" xfId="6" applyNumberFormat="1" applyFont="1" applyFill="1" applyBorder="1"/>
    <xf numFmtId="165" fontId="61" fillId="24" borderId="38" xfId="6" applyNumberFormat="1" applyFont="1" applyFill="1" applyBorder="1"/>
    <xf numFmtId="165" fontId="61" fillId="25" borderId="38" xfId="6" applyNumberFormat="1" applyFont="1" applyFill="1" applyBorder="1"/>
    <xf numFmtId="9" fontId="0" fillId="0" borderId="0" xfId="0" applyNumberFormat="1"/>
    <xf numFmtId="9" fontId="13" fillId="0" borderId="0" xfId="0" applyNumberFormat="1" applyFont="1"/>
    <xf numFmtId="9" fontId="14" fillId="0" borderId="0" xfId="0" applyNumberFormat="1" applyFont="1"/>
    <xf numFmtId="4" fontId="13" fillId="0" borderId="0" xfId="0" applyNumberFormat="1" applyFont="1"/>
    <xf numFmtId="165" fontId="61" fillId="0" borderId="38" xfId="6" applyNumberFormat="1" applyFont="1" applyFill="1" applyBorder="1"/>
    <xf numFmtId="42" fontId="2" fillId="0" borderId="0" xfId="0" applyNumberFormat="1" applyFont="1"/>
    <xf numFmtId="0" fontId="24" fillId="0" borderId="0" xfId="0" applyFont="1"/>
    <xf numFmtId="0" fontId="59" fillId="26" borderId="27" xfId="12" applyFont="1" applyFill="1" applyBorder="1" applyAlignment="1">
      <alignment horizontal="center"/>
    </xf>
    <xf numFmtId="0" fontId="0" fillId="0" borderId="4" xfId="0" applyBorder="1" applyAlignment="1">
      <alignment horizontal="left" indent="1"/>
    </xf>
    <xf numFmtId="164" fontId="58" fillId="27" borderId="33" xfId="7" applyNumberFormat="1" applyFont="1" applyFill="1" applyBorder="1"/>
    <xf numFmtId="167" fontId="61" fillId="25" borderId="37" xfId="7" applyNumberFormat="1" applyFont="1" applyFill="1" applyBorder="1"/>
    <xf numFmtId="0" fontId="51" fillId="0" borderId="4" xfId="0" applyFont="1" applyBorder="1"/>
    <xf numFmtId="6" fontId="61" fillId="25" borderId="16" xfId="7" applyNumberFormat="1" applyFont="1" applyFill="1" applyBorder="1"/>
    <xf numFmtId="6" fontId="61" fillId="25" borderId="37" xfId="7" applyNumberFormat="1" applyFont="1" applyFill="1" applyBorder="1"/>
    <xf numFmtId="0" fontId="2" fillId="0" borderId="4" xfId="0" applyFont="1" applyBorder="1" applyAlignment="1">
      <alignment horizontal="left"/>
    </xf>
    <xf numFmtId="10" fontId="61" fillId="25" borderId="37" xfId="7" applyNumberFormat="1" applyFont="1" applyFill="1" applyBorder="1"/>
    <xf numFmtId="10" fontId="61" fillId="25" borderId="39" xfId="7" applyNumberFormat="1" applyFont="1" applyFill="1" applyBorder="1"/>
    <xf numFmtId="0" fontId="0" fillId="0" borderId="7" xfId="0" applyBorder="1" applyAlignment="1">
      <alignment horizontal="left" indent="1"/>
    </xf>
    <xf numFmtId="165" fontId="61" fillId="25" borderId="37" xfId="6" applyNumberFormat="1" applyFont="1" applyFill="1" applyBorder="1"/>
    <xf numFmtId="0" fontId="59" fillId="22" borderId="26" xfId="12" applyFont="1" applyFill="1" applyBorder="1" applyAlignment="1">
      <alignment horizontal="left"/>
    </xf>
    <xf numFmtId="164" fontId="58" fillId="27" borderId="40" xfId="7" applyNumberFormat="1" applyFont="1" applyFill="1" applyBorder="1"/>
    <xf numFmtId="167" fontId="61" fillId="25" borderId="40" xfId="7" applyNumberFormat="1" applyFont="1" applyFill="1" applyBorder="1"/>
    <xf numFmtId="167" fontId="73" fillId="25" borderId="40" xfId="7" applyNumberFormat="1" applyFont="1" applyFill="1" applyBorder="1"/>
    <xf numFmtId="164" fontId="58" fillId="27" borderId="0" xfId="7" applyNumberFormat="1" applyFont="1" applyFill="1" applyBorder="1"/>
    <xf numFmtId="4" fontId="74" fillId="2" borderId="0" xfId="0" applyNumberFormat="1" applyFont="1" applyFill="1"/>
    <xf numFmtId="4" fontId="0" fillId="0" borderId="0" xfId="0" applyNumberFormat="1"/>
    <xf numFmtId="165" fontId="61" fillId="24" borderId="37" xfId="6" applyNumberFormat="1" applyFont="1" applyFill="1" applyBorder="1"/>
    <xf numFmtId="8" fontId="13" fillId="0" borderId="0" xfId="0" applyNumberFormat="1" applyFont="1"/>
    <xf numFmtId="8" fontId="2" fillId="0" borderId="0" xfId="0" applyNumberFormat="1" applyFont="1"/>
    <xf numFmtId="37" fontId="74" fillId="2" borderId="6" xfId="0" applyNumberFormat="1" applyFont="1" applyFill="1" applyBorder="1"/>
    <xf numFmtId="44" fontId="61" fillId="25" borderId="37" xfId="6" applyFont="1" applyFill="1" applyBorder="1"/>
    <xf numFmtId="165" fontId="73" fillId="25" borderId="37" xfId="6" applyNumberFormat="1" applyFont="1" applyFill="1" applyBorder="1"/>
    <xf numFmtId="0" fontId="2" fillId="0" borderId="0" xfId="0" applyFont="1" applyAlignment="1">
      <alignment horizontal="left"/>
    </xf>
    <xf numFmtId="167" fontId="64" fillId="25" borderId="37" xfId="7" applyNumberFormat="1" applyFont="1" applyFill="1" applyBorder="1"/>
    <xf numFmtId="10" fontId="61" fillId="25" borderId="40" xfId="7" applyNumberFormat="1" applyFont="1" applyFill="1" applyBorder="1"/>
    <xf numFmtId="167" fontId="64" fillId="25" borderId="40" xfId="7" applyNumberFormat="1" applyFont="1" applyFill="1" applyBorder="1"/>
    <xf numFmtId="44" fontId="64" fillId="25" borderId="37" xfId="6" applyFont="1" applyFill="1" applyBorder="1"/>
    <xf numFmtId="0" fontId="0" fillId="11" borderId="0" xfId="0" applyFill="1"/>
    <xf numFmtId="167" fontId="64" fillId="25" borderId="6" xfId="7" applyNumberFormat="1" applyFont="1" applyFill="1" applyBorder="1"/>
    <xf numFmtId="167" fontId="61" fillId="25" borderId="6" xfId="7" applyNumberFormat="1" applyFont="1" applyFill="1" applyBorder="1"/>
    <xf numFmtId="167" fontId="22" fillId="0" borderId="0" xfId="0" applyNumberFormat="1" applyFont="1"/>
    <xf numFmtId="0" fontId="0" fillId="2" borderId="6" xfId="0" applyFill="1" applyBorder="1"/>
    <xf numFmtId="164" fontId="0" fillId="0" borderId="0" xfId="0" applyNumberFormat="1"/>
    <xf numFmtId="0" fontId="75" fillId="28" borderId="26" xfId="8" applyFont="1" applyFill="1" applyBorder="1"/>
    <xf numFmtId="0" fontId="75" fillId="28" borderId="27" xfId="8" applyFont="1" applyFill="1" applyBorder="1"/>
    <xf numFmtId="0" fontId="75" fillId="28" borderId="27" xfId="8" applyFont="1" applyFill="1" applyBorder="1" applyAlignment="1">
      <alignment horizontal="center"/>
    </xf>
    <xf numFmtId="164" fontId="75" fillId="28" borderId="28" xfId="8" applyNumberFormat="1" applyFont="1" applyFill="1" applyBorder="1" applyAlignment="1">
      <alignment horizontal="right"/>
    </xf>
    <xf numFmtId="0" fontId="75" fillId="0" borderId="4" xfId="8" applyFont="1" applyBorder="1"/>
    <xf numFmtId="0" fontId="76" fillId="0" borderId="0" xfId="13" applyAlignment="1">
      <alignment horizontal="left"/>
    </xf>
    <xf numFmtId="9" fontId="37" fillId="0" borderId="0" xfId="8" applyNumberFormat="1" applyFont="1" applyAlignment="1">
      <alignment horizontal="center"/>
    </xf>
    <xf numFmtId="4" fontId="37" fillId="4" borderId="0" xfId="8" applyNumberFormat="1" applyFont="1" applyFill="1" applyProtection="1">
      <protection locked="0"/>
    </xf>
    <xf numFmtId="0" fontId="37" fillId="0" borderId="0" xfId="8" applyFont="1" applyAlignment="1">
      <alignment horizontal="center"/>
    </xf>
    <xf numFmtId="164" fontId="37" fillId="0" borderId="5" xfId="8" applyNumberFormat="1" applyFont="1" applyBorder="1" applyAlignment="1">
      <alignment horizontal="right"/>
    </xf>
    <xf numFmtId="1" fontId="0" fillId="0" borderId="0" xfId="0" applyNumberFormat="1"/>
    <xf numFmtId="167" fontId="77" fillId="0" borderId="0" xfId="0" applyNumberFormat="1" applyFont="1"/>
    <xf numFmtId="167" fontId="0" fillId="0" borderId="0" xfId="0" applyNumberFormat="1"/>
    <xf numFmtId="0" fontId="76" fillId="0" borderId="0" xfId="13" applyAlignment="1">
      <alignment horizontal="left" wrapText="1"/>
    </xf>
    <xf numFmtId="0" fontId="78" fillId="0" borderId="0" xfId="0" applyFont="1"/>
    <xf numFmtId="6" fontId="37" fillId="0" borderId="0" xfId="8" applyNumberFormat="1" applyFont="1" applyAlignment="1">
      <alignment horizontal="center"/>
    </xf>
    <xf numFmtId="8" fontId="37" fillId="0" borderId="0" xfId="8" applyNumberFormat="1" applyFont="1" applyAlignment="1">
      <alignment horizontal="center"/>
    </xf>
    <xf numFmtId="167" fontId="77" fillId="11" borderId="0" xfId="0" applyNumberFormat="1" applyFont="1" applyFill="1"/>
    <xf numFmtId="0" fontId="0" fillId="0" borderId="0" xfId="0" applyAlignment="1">
      <alignment vertical="center"/>
    </xf>
    <xf numFmtId="0" fontId="75" fillId="0" borderId="7" xfId="8" applyFont="1" applyBorder="1"/>
    <xf numFmtId="0" fontId="78" fillId="0" borderId="8" xfId="0" applyFont="1" applyBorder="1"/>
    <xf numFmtId="6" fontId="37" fillId="0" borderId="8" xfId="8" applyNumberFormat="1" applyFont="1" applyBorder="1" applyAlignment="1">
      <alignment horizontal="center"/>
    </xf>
    <xf numFmtId="8" fontId="37" fillId="0" borderId="8" xfId="8" applyNumberFormat="1" applyFont="1" applyBorder="1" applyAlignment="1">
      <alignment horizontal="center"/>
    </xf>
    <xf numFmtId="4" fontId="37" fillId="4" borderId="8" xfId="8" applyNumberFormat="1" applyFont="1" applyFill="1" applyBorder="1" applyProtection="1">
      <protection locked="0"/>
    </xf>
    <xf numFmtId="0" fontId="37" fillId="0" borderId="8" xfId="8" applyFont="1" applyBorder="1" applyAlignment="1">
      <alignment horizontal="center"/>
    </xf>
    <xf numFmtId="164" fontId="37" fillId="0" borderId="9" xfId="8" applyNumberFormat="1" applyFont="1" applyBorder="1" applyAlignment="1">
      <alignment horizontal="right"/>
    </xf>
    <xf numFmtId="0" fontId="75" fillId="29" borderId="1" xfId="8" applyFont="1" applyFill="1" applyBorder="1"/>
    <xf numFmtId="0" fontId="0" fillId="29" borderId="2" xfId="0" applyFill="1" applyBorder="1"/>
    <xf numFmtId="164" fontId="2" fillId="29" borderId="3" xfId="0" applyNumberFormat="1" applyFont="1" applyFill="1" applyBorder="1"/>
    <xf numFmtId="0" fontId="75" fillId="29" borderId="4" xfId="8" applyFont="1" applyFill="1" applyBorder="1"/>
    <xf numFmtId="0" fontId="0" fillId="29" borderId="0" xfId="0" applyFill="1"/>
    <xf numFmtId="164" fontId="2" fillId="29" borderId="5" xfId="0" applyNumberFormat="1" applyFont="1" applyFill="1" applyBorder="1"/>
    <xf numFmtId="0" fontId="75" fillId="29" borderId="7" xfId="8" applyFont="1" applyFill="1" applyBorder="1"/>
    <xf numFmtId="0" fontId="0" fillId="29" borderId="8" xfId="0" applyFill="1" applyBorder="1"/>
    <xf numFmtId="164" fontId="2" fillId="11" borderId="9" xfId="0" applyNumberFormat="1" applyFont="1" applyFill="1" applyBorder="1"/>
    <xf numFmtId="0" fontId="75" fillId="29" borderId="0" xfId="8" applyFont="1" applyFill="1"/>
    <xf numFmtId="164" fontId="2" fillId="29" borderId="0" xfId="0" applyNumberFormat="1" applyFont="1" applyFill="1"/>
    <xf numFmtId="0" fontId="51" fillId="0" borderId="41" xfId="0" applyFont="1" applyBorder="1"/>
    <xf numFmtId="0" fontId="0" fillId="0" borderId="40" xfId="0" applyBorder="1"/>
    <xf numFmtId="167" fontId="77" fillId="0" borderId="42" xfId="0" applyNumberFormat="1" applyFont="1" applyBorder="1"/>
    <xf numFmtId="0" fontId="0" fillId="0" borderId="44" xfId="0" applyBorder="1"/>
    <xf numFmtId="167" fontId="77" fillId="0" borderId="43" xfId="0" applyNumberFormat="1" applyFont="1" applyBorder="1"/>
    <xf numFmtId="0" fontId="0" fillId="0" borderId="38" xfId="0" applyBorder="1"/>
    <xf numFmtId="4" fontId="37" fillId="0" borderId="0" xfId="8" applyNumberFormat="1" applyFont="1" applyProtection="1">
      <protection locked="0"/>
    </xf>
    <xf numFmtId="164" fontId="37" fillId="0" borderId="2" xfId="8" applyNumberFormat="1" applyFont="1" applyBorder="1" applyAlignment="1">
      <alignment horizontal="right"/>
    </xf>
    <xf numFmtId="164" fontId="2" fillId="29" borderId="9" xfId="0" applyNumberFormat="1" applyFont="1" applyFill="1" applyBorder="1"/>
    <xf numFmtId="0" fontId="79" fillId="0" borderId="0" xfId="0" applyFont="1"/>
    <xf numFmtId="0" fontId="80" fillId="0" borderId="0" xfId="14" applyFont="1"/>
    <xf numFmtId="5" fontId="81" fillId="0" borderId="0" xfId="14" applyNumberFormat="1" applyFont="1"/>
    <xf numFmtId="14" fontId="80" fillId="0" borderId="0" xfId="14" applyNumberFormat="1" applyFont="1"/>
    <xf numFmtId="0" fontId="82" fillId="0" borderId="0" xfId="9" applyFont="1"/>
    <xf numFmtId="0" fontId="83" fillId="0" borderId="0" xfId="14" applyFont="1"/>
    <xf numFmtId="0" fontId="80" fillId="0" borderId="0" xfId="14" applyFont="1" applyAlignment="1">
      <alignment vertical="center"/>
    </xf>
    <xf numFmtId="0" fontId="84" fillId="30" borderId="41" xfId="14" applyFont="1" applyFill="1" applyBorder="1" applyAlignment="1">
      <alignment vertical="center"/>
    </xf>
    <xf numFmtId="0" fontId="84" fillId="30" borderId="20" xfId="14" applyFont="1" applyFill="1" applyBorder="1" applyAlignment="1">
      <alignment vertical="center"/>
    </xf>
    <xf numFmtId="0" fontId="80" fillId="0" borderId="42" xfId="14" applyFont="1" applyBorder="1"/>
    <xf numFmtId="0" fontId="85" fillId="31" borderId="6" xfId="0" applyFont="1" applyFill="1" applyBorder="1" applyAlignment="1">
      <alignment horizontal="center"/>
    </xf>
    <xf numFmtId="0" fontId="86" fillId="0" borderId="44" xfId="14" applyFont="1" applyBorder="1" applyAlignment="1">
      <alignment horizontal="left"/>
    </xf>
    <xf numFmtId="0" fontId="80" fillId="0" borderId="6" xfId="14" applyFont="1" applyBorder="1"/>
    <xf numFmtId="166" fontId="80" fillId="0" borderId="6" xfId="5" applyNumberFormat="1" applyFont="1" applyBorder="1"/>
    <xf numFmtId="173" fontId="80" fillId="0" borderId="44" xfId="14" applyNumberFormat="1" applyFont="1" applyBorder="1" applyAlignment="1">
      <alignment horizontal="right" vertical="center"/>
    </xf>
    <xf numFmtId="5" fontId="80" fillId="0" borderId="6" xfId="14" applyNumberFormat="1" applyFont="1" applyBorder="1"/>
    <xf numFmtId="173" fontId="80" fillId="0" borderId="6" xfId="14" applyNumberFormat="1" applyFont="1" applyBorder="1"/>
    <xf numFmtId="0" fontId="87" fillId="0" borderId="6" xfId="14" applyFont="1" applyBorder="1"/>
    <xf numFmtId="168" fontId="87" fillId="0" borderId="6" xfId="14" applyNumberFormat="1" applyFont="1" applyBorder="1" applyAlignment="1">
      <alignment horizontal="right" vertical="center"/>
    </xf>
    <xf numFmtId="173" fontId="87" fillId="0" borderId="44" xfId="14" applyNumberFormat="1" applyFont="1" applyBorder="1" applyAlignment="1">
      <alignment horizontal="right" vertical="center"/>
    </xf>
    <xf numFmtId="0" fontId="87" fillId="0" borderId="0" xfId="14" applyFont="1"/>
    <xf numFmtId="168" fontId="87" fillId="0" borderId="0" xfId="14" applyNumberFormat="1" applyFont="1" applyAlignment="1">
      <alignment horizontal="right" vertical="center"/>
    </xf>
    <xf numFmtId="173" fontId="87" fillId="0" borderId="0" xfId="14" applyNumberFormat="1" applyFont="1" applyAlignment="1">
      <alignment horizontal="right" vertical="center"/>
    </xf>
    <xf numFmtId="0" fontId="88" fillId="0" borderId="6" xfId="14" applyFont="1" applyBorder="1"/>
    <xf numFmtId="165" fontId="88" fillId="0" borderId="6" xfId="14" applyNumberFormat="1" applyFont="1" applyBorder="1"/>
    <xf numFmtId="164" fontId="88" fillId="0" borderId="44" xfId="14" applyNumberFormat="1" applyFont="1" applyBorder="1" applyAlignment="1">
      <alignment horizontal="right" vertical="center"/>
    </xf>
    <xf numFmtId="165" fontId="80" fillId="0" borderId="6" xfId="14" applyNumberFormat="1" applyFont="1" applyBorder="1"/>
    <xf numFmtId="164" fontId="80" fillId="0" borderId="44" xfId="14" applyNumberFormat="1" applyFont="1" applyBorder="1" applyAlignment="1">
      <alignment horizontal="right" vertical="center"/>
    </xf>
    <xf numFmtId="164" fontId="80" fillId="0" borderId="6" xfId="14" applyNumberFormat="1" applyFont="1" applyBorder="1" applyAlignment="1">
      <alignment horizontal="right" vertical="center"/>
    </xf>
    <xf numFmtId="164" fontId="88" fillId="0" borderId="6" xfId="14" applyNumberFormat="1" applyFont="1" applyBorder="1" applyAlignment="1">
      <alignment horizontal="right" vertical="center"/>
    </xf>
    <xf numFmtId="0" fontId="83" fillId="0" borderId="6" xfId="14" applyFont="1" applyBorder="1"/>
    <xf numFmtId="164" fontId="83" fillId="0" borderId="6" xfId="14" applyNumberFormat="1" applyFont="1" applyBorder="1"/>
    <xf numFmtId="164" fontId="83" fillId="0" borderId="44" xfId="14" applyNumberFormat="1" applyFont="1" applyBorder="1"/>
    <xf numFmtId="9" fontId="87" fillId="0" borderId="6" xfId="14" applyNumberFormat="1" applyFont="1" applyBorder="1"/>
    <xf numFmtId="9" fontId="87" fillId="0" borderId="44" xfId="14" applyNumberFormat="1" applyFont="1" applyBorder="1"/>
    <xf numFmtId="0" fontId="88" fillId="0" borderId="0" xfId="14" applyFont="1"/>
    <xf numFmtId="5" fontId="88" fillId="0" borderId="6" xfId="14" applyNumberFormat="1" applyFont="1" applyBorder="1"/>
    <xf numFmtId="173" fontId="88" fillId="0" borderId="44" xfId="14" applyNumberFormat="1" applyFont="1" applyBorder="1" applyAlignment="1">
      <alignment horizontal="right" vertical="center"/>
    </xf>
    <xf numFmtId="173" fontId="80" fillId="0" borderId="6" xfId="14" applyNumberFormat="1" applyFont="1" applyBorder="1" applyAlignment="1">
      <alignment horizontal="right" vertical="center"/>
    </xf>
    <xf numFmtId="0" fontId="80" fillId="0" borderId="44" xfId="14" applyFont="1" applyBorder="1"/>
    <xf numFmtId="167" fontId="80" fillId="0" borderId="6" xfId="7" applyNumberFormat="1" applyFont="1" applyBorder="1" applyAlignment="1">
      <alignment horizontal="right" vertical="center"/>
    </xf>
    <xf numFmtId="0" fontId="86" fillId="0" borderId="6" xfId="14" applyFont="1" applyBorder="1"/>
    <xf numFmtId="0" fontId="80" fillId="0" borderId="38" xfId="14" applyFont="1" applyBorder="1"/>
    <xf numFmtId="0" fontId="86" fillId="0" borderId="0" xfId="14" applyFont="1"/>
    <xf numFmtId="0" fontId="86" fillId="32" borderId="42" xfId="14" applyFont="1" applyFill="1" applyBorder="1"/>
    <xf numFmtId="0" fontId="86" fillId="0" borderId="0" xfId="14" applyFont="1" applyAlignment="1">
      <alignment horizontal="center"/>
    </xf>
    <xf numFmtId="0" fontId="80" fillId="0" borderId="45" xfId="14" applyFont="1" applyBorder="1"/>
    <xf numFmtId="166" fontId="58" fillId="33" borderId="0" xfId="0" applyNumberFormat="1" applyFont="1" applyFill="1" applyAlignment="1">
      <alignment vertical="center"/>
    </xf>
    <xf numFmtId="173" fontId="89" fillId="32" borderId="46" xfId="14" applyNumberFormat="1" applyFont="1" applyFill="1" applyBorder="1" applyAlignment="1">
      <alignment horizontal="right"/>
    </xf>
    <xf numFmtId="173" fontId="89" fillId="0" borderId="46" xfId="14" applyNumberFormat="1" applyFont="1" applyBorder="1" applyAlignment="1">
      <alignment horizontal="right"/>
    </xf>
    <xf numFmtId="173" fontId="90" fillId="0" borderId="46" xfId="14" applyNumberFormat="1" applyFont="1" applyBorder="1" applyAlignment="1">
      <alignment horizontal="right"/>
    </xf>
    <xf numFmtId="0" fontId="80" fillId="34" borderId="45" xfId="14" applyFont="1" applyFill="1" applyBorder="1"/>
    <xf numFmtId="173" fontId="80" fillId="6" borderId="46" xfId="14" applyNumberFormat="1" applyFont="1" applyFill="1" applyBorder="1" applyAlignment="1">
      <alignment horizontal="right"/>
    </xf>
    <xf numFmtId="0" fontId="88" fillId="34" borderId="47" xfId="14" applyFont="1" applyFill="1" applyBorder="1"/>
    <xf numFmtId="173" fontId="88" fillId="0" borderId="48" xfId="14" applyNumberFormat="1" applyFont="1" applyBorder="1" applyAlignment="1">
      <alignment horizontal="right"/>
    </xf>
    <xf numFmtId="0" fontId="80" fillId="0" borderId="38" xfId="0" applyFont="1" applyBorder="1"/>
    <xf numFmtId="8" fontId="80" fillId="0" borderId="0" xfId="14" applyNumberFormat="1" applyFont="1"/>
    <xf numFmtId="0" fontId="80" fillId="0" borderId="0" xfId="0" applyFont="1"/>
    <xf numFmtId="0" fontId="84" fillId="30" borderId="41" xfId="14" applyFont="1" applyFill="1" applyBorder="1"/>
    <xf numFmtId="0" fontId="84" fillId="30" borderId="20" xfId="14" applyFont="1" applyFill="1" applyBorder="1"/>
    <xf numFmtId="0" fontId="84" fillId="30" borderId="40" xfId="14" applyFont="1" applyFill="1" applyBorder="1"/>
    <xf numFmtId="0" fontId="86" fillId="0" borderId="42" xfId="14" applyFont="1" applyBorder="1"/>
    <xf numFmtId="170" fontId="91" fillId="32" borderId="46" xfId="5" applyNumberFormat="1" applyFont="1" applyFill="1" applyBorder="1" applyAlignment="1">
      <alignment horizontal="right"/>
    </xf>
    <xf numFmtId="170" fontId="90" fillId="16" borderId="46" xfId="5" applyNumberFormat="1" applyFont="1" applyFill="1" applyBorder="1" applyAlignment="1">
      <alignment horizontal="right"/>
    </xf>
    <xf numFmtId="170" fontId="91" fillId="16" borderId="46" xfId="5" applyNumberFormat="1" applyFont="1" applyFill="1" applyBorder="1" applyAlignment="1">
      <alignment horizontal="right"/>
    </xf>
    <xf numFmtId="170" fontId="89" fillId="16" borderId="46" xfId="5" applyNumberFormat="1" applyFont="1" applyFill="1" applyBorder="1" applyAlignment="1">
      <alignment horizontal="right"/>
    </xf>
    <xf numFmtId="0" fontId="80" fillId="0" borderId="44" xfId="0" applyFont="1" applyBorder="1"/>
    <xf numFmtId="170" fontId="90" fillId="29" borderId="46" xfId="5" applyNumberFormat="1" applyFont="1" applyFill="1" applyBorder="1" applyAlignment="1">
      <alignment horizontal="right"/>
    </xf>
    <xf numFmtId="165" fontId="89" fillId="32" borderId="46" xfId="6" applyNumberFormat="1" applyFont="1" applyFill="1" applyBorder="1" applyAlignment="1">
      <alignment horizontal="right"/>
    </xf>
    <xf numFmtId="165" fontId="80" fillId="0" borderId="46" xfId="14" applyNumberFormat="1" applyFont="1" applyBorder="1"/>
    <xf numFmtId="44" fontId="80" fillId="0" borderId="44" xfId="14" applyNumberFormat="1" applyFont="1" applyBorder="1"/>
    <xf numFmtId="0" fontId="87" fillId="0" borderId="47" xfId="14" applyFont="1" applyBorder="1"/>
    <xf numFmtId="165" fontId="83" fillId="11" borderId="48" xfId="14" applyNumberFormat="1" applyFont="1" applyFill="1" applyBorder="1"/>
    <xf numFmtId="167" fontId="92" fillId="0" borderId="0" xfId="14" applyNumberFormat="1" applyFont="1"/>
    <xf numFmtId="0" fontId="80" fillId="0" borderId="20" xfId="14" applyFont="1" applyBorder="1"/>
    <xf numFmtId="165" fontId="83" fillId="0" borderId="0" xfId="14" applyNumberFormat="1" applyFont="1"/>
    <xf numFmtId="0" fontId="80" fillId="32" borderId="45" xfId="14" applyFont="1" applyFill="1" applyBorder="1"/>
    <xf numFmtId="0" fontId="88" fillId="0" borderId="49" xfId="14" applyFont="1" applyBorder="1"/>
    <xf numFmtId="165" fontId="88" fillId="0" borderId="50" xfId="14" applyNumberFormat="1" applyFont="1" applyBorder="1"/>
    <xf numFmtId="0" fontId="80" fillId="0" borderId="49" xfId="14" applyFont="1" applyBorder="1"/>
    <xf numFmtId="165" fontId="80" fillId="0" borderId="50" xfId="14" applyNumberFormat="1" applyFont="1" applyBorder="1"/>
    <xf numFmtId="0" fontId="80" fillId="0" borderId="51" xfId="14" applyFont="1" applyBorder="1"/>
    <xf numFmtId="165" fontId="80" fillId="0" borderId="52" xfId="14" applyNumberFormat="1" applyFont="1" applyBorder="1"/>
    <xf numFmtId="165" fontId="88" fillId="0" borderId="53" xfId="14" applyNumberFormat="1" applyFont="1" applyBorder="1"/>
    <xf numFmtId="0" fontId="80" fillId="0" borderId="54" xfId="14" applyFont="1" applyBorder="1"/>
    <xf numFmtId="0" fontId="88" fillId="0" borderId="55" xfId="14" applyFont="1" applyBorder="1"/>
    <xf numFmtId="165" fontId="88" fillId="0" borderId="56" xfId="14" applyNumberFormat="1" applyFont="1" applyBorder="1"/>
    <xf numFmtId="0" fontId="80" fillId="0" borderId="57" xfId="14" applyFont="1" applyBorder="1"/>
    <xf numFmtId="167" fontId="93" fillId="2" borderId="6" xfId="0" applyNumberFormat="1" applyFont="1" applyFill="1" applyBorder="1"/>
    <xf numFmtId="167" fontId="93" fillId="35" borderId="6" xfId="0" applyNumberFormat="1" applyFont="1" applyFill="1" applyBorder="1"/>
    <xf numFmtId="165" fontId="94" fillId="32" borderId="46" xfId="6" applyNumberFormat="1" applyFont="1" applyFill="1" applyBorder="1" applyAlignment="1">
      <alignment horizontal="right"/>
    </xf>
    <xf numFmtId="0" fontId="68" fillId="0" borderId="0" xfId="12"/>
    <xf numFmtId="0" fontId="95" fillId="4" borderId="26" xfId="12" applyFont="1" applyFill="1" applyBorder="1"/>
    <xf numFmtId="0" fontId="95" fillId="4" borderId="28" xfId="12" applyFont="1" applyFill="1" applyBorder="1"/>
    <xf numFmtId="0" fontId="96" fillId="0" borderId="0" xfId="12" applyFont="1" applyAlignment="1">
      <alignment horizontal="right"/>
    </xf>
    <xf numFmtId="0" fontId="96" fillId="0" borderId="0" xfId="12" applyFont="1" applyAlignment="1">
      <alignment horizontal="left"/>
    </xf>
    <xf numFmtId="0" fontId="99" fillId="36" borderId="26" xfId="15" applyFont="1" applyFill="1" applyBorder="1" applyAlignment="1">
      <alignment vertical="center"/>
    </xf>
    <xf numFmtId="0" fontId="99" fillId="36" borderId="27" xfId="15" applyFont="1" applyFill="1" applyBorder="1" applyAlignment="1">
      <alignment vertical="center"/>
    </xf>
    <xf numFmtId="0" fontId="75" fillId="28" borderId="26" xfId="15" applyFont="1" applyFill="1" applyBorder="1"/>
    <xf numFmtId="0" fontId="6" fillId="28" borderId="27" xfId="16" applyFill="1" applyBorder="1"/>
    <xf numFmtId="0" fontId="75" fillId="28" borderId="27" xfId="15" applyFont="1" applyFill="1" applyBorder="1" applyAlignment="1">
      <alignment horizontal="center"/>
    </xf>
    <xf numFmtId="0" fontId="75" fillId="28" borderId="27" xfId="15" applyFont="1" applyFill="1" applyBorder="1"/>
    <xf numFmtId="0" fontId="75" fillId="28" borderId="28" xfId="15" applyFont="1" applyFill="1" applyBorder="1" applyAlignment="1">
      <alignment horizontal="right"/>
    </xf>
    <xf numFmtId="0" fontId="75" fillId="0" borderId="4" xfId="15" applyFont="1" applyBorder="1"/>
    <xf numFmtId="0" fontId="75" fillId="0" borderId="0" xfId="15" applyFont="1"/>
    <xf numFmtId="8" fontId="37" fillId="0" borderId="0" xfId="15" applyNumberFormat="1" applyFont="1" applyAlignment="1">
      <alignment horizontal="center"/>
    </xf>
    <xf numFmtId="4" fontId="37" fillId="4" borderId="0" xfId="15" applyNumberFormat="1" applyFont="1" applyFill="1" applyProtection="1">
      <protection locked="0"/>
    </xf>
    <xf numFmtId="164" fontId="37" fillId="0" borderId="5" xfId="15" applyNumberFormat="1" applyFont="1" applyBorder="1" applyAlignment="1">
      <alignment horizontal="right"/>
    </xf>
    <xf numFmtId="4" fontId="37" fillId="0" borderId="0" xfId="15" applyNumberFormat="1" applyFont="1" applyProtection="1">
      <protection locked="0"/>
    </xf>
    <xf numFmtId="164" fontId="75" fillId="28" borderId="28" xfId="15" applyNumberFormat="1" applyFont="1" applyFill="1" applyBorder="1" applyAlignment="1">
      <alignment horizontal="right"/>
    </xf>
    <xf numFmtId="9" fontId="37" fillId="0" borderId="0" xfId="15" applyNumberFormat="1" applyFont="1" applyAlignment="1">
      <alignment horizontal="center"/>
    </xf>
    <xf numFmtId="0" fontId="37" fillId="0" borderId="0" xfId="15" applyFont="1" applyAlignment="1">
      <alignment horizontal="center"/>
    </xf>
    <xf numFmtId="1" fontId="78" fillId="0" borderId="29" xfId="17" applyNumberFormat="1" applyFont="1" applyBorder="1" applyAlignment="1"/>
    <xf numFmtId="4" fontId="37" fillId="11" borderId="0" xfId="15" applyNumberFormat="1" applyFont="1" applyFill="1" applyProtection="1">
      <protection locked="0"/>
    </xf>
    <xf numFmtId="0" fontId="76" fillId="32" borderId="0" xfId="13" applyFill="1" applyAlignment="1">
      <alignment horizontal="left" wrapText="1"/>
    </xf>
    <xf numFmtId="1" fontId="78" fillId="0" borderId="10" xfId="12" applyNumberFormat="1" applyFont="1" applyBorder="1"/>
    <xf numFmtId="0" fontId="78" fillId="0" borderId="0" xfId="12" applyFont="1"/>
    <xf numFmtId="6" fontId="37" fillId="0" borderId="0" xfId="15" applyNumberFormat="1" applyFont="1" applyAlignment="1">
      <alignment horizontal="center"/>
    </xf>
    <xf numFmtId="0" fontId="75" fillId="14" borderId="4" xfId="15" applyFont="1" applyFill="1" applyBorder="1"/>
    <xf numFmtId="0" fontId="75" fillId="37" borderId="4" xfId="15" applyFont="1" applyFill="1" applyBorder="1"/>
    <xf numFmtId="0" fontId="37" fillId="28" borderId="27" xfId="15" applyFont="1" applyFill="1" applyBorder="1" applyAlignment="1">
      <alignment horizontal="center"/>
    </xf>
    <xf numFmtId="0" fontId="37" fillId="28" borderId="27" xfId="15" applyFont="1" applyFill="1" applyBorder="1"/>
    <xf numFmtId="0" fontId="37" fillId="28" borderId="28" xfId="15" applyFont="1" applyFill="1" applyBorder="1" applyAlignment="1">
      <alignment horizontal="center"/>
    </xf>
    <xf numFmtId="0" fontId="68" fillId="0" borderId="10" xfId="12" applyBorder="1"/>
    <xf numFmtId="0" fontId="75" fillId="0" borderId="1" xfId="15" applyFont="1" applyBorder="1"/>
    <xf numFmtId="0" fontId="75" fillId="0" borderId="2" xfId="15" applyFont="1" applyBorder="1"/>
    <xf numFmtId="0" fontId="37" fillId="0" borderId="2" xfId="15" applyFont="1" applyBorder="1" applyAlignment="1">
      <alignment horizontal="center"/>
    </xf>
    <xf numFmtId="0" fontId="37" fillId="0" borderId="2" xfId="15" applyFont="1" applyBorder="1"/>
    <xf numFmtId="8" fontId="37" fillId="0" borderId="3" xfId="15" applyNumberFormat="1" applyFont="1" applyBorder="1" applyAlignment="1">
      <alignment horizontal="center"/>
    </xf>
    <xf numFmtId="0" fontId="37" fillId="0" borderId="0" xfId="15" applyFont="1"/>
    <xf numFmtId="8" fontId="37" fillId="0" borderId="5" xfId="15" applyNumberFormat="1" applyFont="1" applyBorder="1" applyAlignment="1">
      <alignment horizontal="center"/>
    </xf>
    <xf numFmtId="0" fontId="100" fillId="0" borderId="7" xfId="12" applyFont="1" applyBorder="1"/>
    <xf numFmtId="0" fontId="68" fillId="0" borderId="8" xfId="12" applyBorder="1"/>
    <xf numFmtId="0" fontId="75" fillId="0" borderId="26" xfId="15" applyFont="1" applyBorder="1"/>
    <xf numFmtId="0" fontId="75" fillId="0" borderId="27" xfId="15" applyFont="1" applyBorder="1"/>
    <xf numFmtId="0" fontId="75" fillId="0" borderId="27" xfId="15" applyFont="1" applyBorder="1" applyAlignment="1">
      <alignment horizontal="center"/>
    </xf>
    <xf numFmtId="164" fontId="75" fillId="0" borderId="28" xfId="15" applyNumberFormat="1" applyFont="1" applyBorder="1" applyAlignment="1">
      <alignment horizontal="right"/>
    </xf>
    <xf numFmtId="164" fontId="68" fillId="0" borderId="0" xfId="12" applyNumberFormat="1"/>
    <xf numFmtId="0" fontId="75" fillId="11" borderId="26" xfId="15" applyFont="1" applyFill="1" applyBorder="1"/>
    <xf numFmtId="0" fontId="75" fillId="11" borderId="27" xfId="15" applyFont="1" applyFill="1" applyBorder="1"/>
    <xf numFmtId="0" fontId="68" fillId="11" borderId="27" xfId="12" applyFill="1" applyBorder="1"/>
    <xf numFmtId="164" fontId="100" fillId="11" borderId="28" xfId="12" applyNumberFormat="1" applyFont="1" applyFill="1" applyBorder="1" applyAlignment="1">
      <alignment horizontal="right"/>
    </xf>
    <xf numFmtId="164" fontId="100" fillId="11" borderId="28" xfId="12" applyNumberFormat="1" applyFont="1" applyFill="1" applyBorder="1"/>
    <xf numFmtId="0" fontId="78" fillId="11" borderId="27" xfId="12" applyFont="1" applyFill="1" applyBorder="1"/>
    <xf numFmtId="174" fontId="100" fillId="0" borderId="0" xfId="12" applyNumberFormat="1" applyFont="1" applyAlignment="1">
      <alignment horizontal="center"/>
    </xf>
    <xf numFmtId="0" fontId="100" fillId="0" borderId="26" xfId="12" applyFont="1" applyBorder="1"/>
    <xf numFmtId="0" fontId="78" fillId="0" borderId="27" xfId="12" applyFont="1" applyBorder="1"/>
    <xf numFmtId="174" fontId="100" fillId="0" borderId="27" xfId="12" applyNumberFormat="1" applyFont="1" applyBorder="1" applyAlignment="1">
      <alignment horizontal="center"/>
    </xf>
    <xf numFmtId="164" fontId="100" fillId="0" borderId="28" xfId="12" applyNumberFormat="1" applyFont="1" applyBorder="1"/>
    <xf numFmtId="0" fontId="100" fillId="11" borderId="26" xfId="12" applyFont="1" applyFill="1" applyBorder="1"/>
    <xf numFmtId="174" fontId="100" fillId="11" borderId="27" xfId="12" applyNumberFormat="1" applyFont="1" applyFill="1" applyBorder="1" applyAlignment="1">
      <alignment horizontal="center"/>
    </xf>
    <xf numFmtId="174" fontId="100" fillId="11" borderId="28" xfId="12" applyNumberFormat="1" applyFont="1" applyFill="1" applyBorder="1"/>
    <xf numFmtId="0" fontId="75" fillId="39" borderId="26" xfId="15" applyFont="1" applyFill="1" applyBorder="1"/>
    <xf numFmtId="0" fontId="75" fillId="39" borderId="27" xfId="15" applyFont="1" applyFill="1" applyBorder="1"/>
    <xf numFmtId="0" fontId="78" fillId="39" borderId="27" xfId="12" applyFont="1" applyFill="1" applyBorder="1"/>
    <xf numFmtId="0" fontId="100" fillId="39" borderId="28" xfId="12" applyFont="1" applyFill="1" applyBorder="1"/>
    <xf numFmtId="9" fontId="78" fillId="0" borderId="2" xfId="17" applyFont="1" applyBorder="1" applyAlignment="1"/>
    <xf numFmtId="0" fontId="78" fillId="0" borderId="2" xfId="12" applyFont="1" applyBorder="1"/>
    <xf numFmtId="9" fontId="78" fillId="0" borderId="3" xfId="17" applyFont="1" applyBorder="1" applyAlignment="1"/>
    <xf numFmtId="9" fontId="68" fillId="0" borderId="0" xfId="12" applyNumberFormat="1"/>
    <xf numFmtId="9" fontId="78" fillId="0" borderId="0" xfId="17" applyFont="1" applyBorder="1" applyAlignment="1"/>
    <xf numFmtId="9" fontId="78" fillId="0" borderId="5" xfId="17" applyFont="1" applyBorder="1" applyAlignment="1"/>
    <xf numFmtId="0" fontId="97" fillId="0" borderId="0" xfId="12" applyFont="1" applyAlignment="1">
      <alignment wrapText="1"/>
    </xf>
    <xf numFmtId="0" fontId="75" fillId="0" borderId="7" xfId="15" applyFont="1" applyBorder="1"/>
    <xf numFmtId="9" fontId="78" fillId="0" borderId="8" xfId="17" applyFont="1" applyBorder="1" applyAlignment="1"/>
    <xf numFmtId="0" fontId="78" fillId="0" borderId="8" xfId="12" applyFont="1" applyBorder="1"/>
    <xf numFmtId="9" fontId="78" fillId="0" borderId="9" xfId="17" applyFont="1" applyBorder="1" applyAlignment="1"/>
    <xf numFmtId="0" fontId="72" fillId="0" borderId="0" xfId="12" applyFont="1"/>
    <xf numFmtId="0" fontId="103" fillId="40" borderId="0" xfId="12" applyFont="1" applyFill="1" applyAlignment="1">
      <alignment horizontal="center"/>
    </xf>
    <xf numFmtId="0" fontId="103" fillId="0" borderId="0" xfId="12" applyFont="1" applyAlignment="1">
      <alignment horizontal="center"/>
    </xf>
    <xf numFmtId="0" fontId="104" fillId="0" borderId="0" xfId="12" applyFont="1"/>
    <xf numFmtId="0" fontId="72" fillId="0" borderId="0" xfId="12" applyFont="1" applyAlignment="1">
      <alignment horizontal="right"/>
    </xf>
    <xf numFmtId="44" fontId="72" fillId="0" borderId="0" xfId="12" applyNumberFormat="1" applyFont="1"/>
    <xf numFmtId="0" fontId="72" fillId="41" borderId="0" xfId="12" applyFont="1" applyFill="1" applyAlignment="1">
      <alignment vertical="top"/>
    </xf>
    <xf numFmtId="0" fontId="72" fillId="41" borderId="0" xfId="12" applyFont="1" applyFill="1"/>
    <xf numFmtId="44" fontId="103" fillId="0" borderId="0" xfId="12" applyNumberFormat="1" applyFont="1" applyAlignment="1">
      <alignment horizontal="center"/>
    </xf>
    <xf numFmtId="0" fontId="105" fillId="42" borderId="0" xfId="12" applyFont="1" applyFill="1" applyAlignment="1">
      <alignment vertical="top"/>
    </xf>
    <xf numFmtId="44" fontId="105" fillId="42" borderId="0" xfId="12" applyNumberFormat="1" applyFont="1" applyFill="1"/>
    <xf numFmtId="0" fontId="105" fillId="43" borderId="0" xfId="12" applyFont="1" applyFill="1" applyAlignment="1">
      <alignment vertical="top"/>
    </xf>
    <xf numFmtId="44" fontId="105" fillId="43" borderId="0" xfId="12" applyNumberFormat="1" applyFont="1" applyFill="1"/>
    <xf numFmtId="10" fontId="105" fillId="43" borderId="0" xfId="12" applyNumberFormat="1" applyFont="1" applyFill="1"/>
    <xf numFmtId="0" fontId="105" fillId="0" borderId="0" xfId="12" applyFont="1" applyAlignment="1">
      <alignment horizontal="center" vertical="center"/>
    </xf>
    <xf numFmtId="44" fontId="105" fillId="0" borderId="0" xfId="12" applyNumberFormat="1" applyFont="1" applyAlignment="1">
      <alignment horizontal="center" vertical="center"/>
    </xf>
    <xf numFmtId="0" fontId="105" fillId="23" borderId="0" xfId="12" applyFont="1" applyFill="1"/>
    <xf numFmtId="10" fontId="103" fillId="23" borderId="0" xfId="12" applyNumberFormat="1" applyFont="1" applyFill="1"/>
    <xf numFmtId="44" fontId="106" fillId="0" borderId="0" xfId="12" applyNumberFormat="1" applyFont="1"/>
    <xf numFmtId="0" fontId="103" fillId="40" borderId="0" xfId="12" applyFont="1" applyFill="1" applyAlignment="1">
      <alignment horizontal="center" vertical="top"/>
    </xf>
    <xf numFmtId="44" fontId="68" fillId="0" borderId="0" xfId="12" applyNumberFormat="1"/>
    <xf numFmtId="44" fontId="72" fillId="11" borderId="0" xfId="12" applyNumberFormat="1" applyFont="1" applyFill="1"/>
    <xf numFmtId="0" fontId="107" fillId="0" borderId="0" xfId="12" applyFont="1"/>
    <xf numFmtId="42" fontId="107" fillId="0" borderId="0" xfId="12" applyNumberFormat="1" applyFont="1"/>
    <xf numFmtId="0" fontId="108" fillId="0" borderId="0" xfId="12" applyFont="1"/>
    <xf numFmtId="0" fontId="107" fillId="34" borderId="17" xfId="12" applyFont="1" applyFill="1" applyBorder="1"/>
    <xf numFmtId="0" fontId="107" fillId="34" borderId="21" xfId="12" applyFont="1" applyFill="1" applyBorder="1"/>
    <xf numFmtId="164" fontId="109" fillId="34" borderId="33" xfId="12" applyNumberFormat="1" applyFont="1" applyFill="1" applyBorder="1" applyAlignment="1">
      <alignment horizontal="right"/>
    </xf>
    <xf numFmtId="165" fontId="46" fillId="16" borderId="0" xfId="6" applyNumberFormat="1" applyFont="1" applyFill="1" applyBorder="1" applyAlignment="1"/>
    <xf numFmtId="165" fontId="41" fillId="16" borderId="0" xfId="6" applyNumberFormat="1" applyFont="1" applyFill="1" applyAlignment="1"/>
    <xf numFmtId="41" fontId="0" fillId="0" borderId="6" xfId="3" applyNumberFormat="1" applyFont="1" applyBorder="1"/>
    <xf numFmtId="0" fontId="0" fillId="4" borderId="0" xfId="0" applyFill="1"/>
    <xf numFmtId="41" fontId="14" fillId="0" borderId="6" xfId="3" applyNumberFormat="1" applyFont="1" applyBorder="1" applyAlignment="1">
      <alignment horizontal="center"/>
    </xf>
    <xf numFmtId="174" fontId="13" fillId="2" borderId="6" xfId="3" applyNumberFormat="1" applyFont="1" applyFill="1" applyBorder="1" applyAlignment="1" applyProtection="1">
      <alignment horizontal="center"/>
      <protection locked="0"/>
    </xf>
    <xf numFmtId="0" fontId="112" fillId="0" borderId="6" xfId="4" applyFont="1" applyBorder="1" applyAlignment="1">
      <alignment horizontal="center"/>
    </xf>
    <xf numFmtId="174" fontId="13" fillId="2" borderId="6" xfId="0" applyNumberFormat="1" applyFont="1" applyFill="1" applyBorder="1" applyAlignment="1">
      <alignment horizontal="center"/>
    </xf>
    <xf numFmtId="0" fontId="13" fillId="4" borderId="6" xfId="0" applyFont="1" applyFill="1" applyBorder="1"/>
    <xf numFmtId="43" fontId="0" fillId="0" borderId="0" xfId="0" applyNumberFormat="1"/>
    <xf numFmtId="174" fontId="68" fillId="0" borderId="0" xfId="12" applyNumberFormat="1"/>
    <xf numFmtId="174" fontId="113" fillId="0" borderId="6" xfId="12" applyNumberFormat="1" applyFont="1" applyBorder="1"/>
    <xf numFmtId="174" fontId="68" fillId="0" borderId="0" xfId="12" applyNumberFormat="1" applyAlignment="1">
      <alignment horizontal="left"/>
    </xf>
    <xf numFmtId="4" fontId="68" fillId="0" borderId="0" xfId="12" applyNumberFormat="1" applyAlignment="1">
      <alignment horizontal="left"/>
    </xf>
    <xf numFmtId="174" fontId="113" fillId="44" borderId="0" xfId="12" applyNumberFormat="1" applyFont="1" applyFill="1" applyAlignment="1">
      <alignment horizontal="left"/>
    </xf>
    <xf numFmtId="164" fontId="100" fillId="44" borderId="28" xfId="12" applyNumberFormat="1" applyFont="1" applyFill="1" applyBorder="1" applyAlignment="1">
      <alignment horizontal="right"/>
    </xf>
    <xf numFmtId="0" fontId="114" fillId="0" borderId="0" xfId="15" applyFont="1"/>
    <xf numFmtId="4" fontId="0" fillId="0" borderId="0" xfId="3" applyNumberFormat="1" applyFont="1"/>
    <xf numFmtId="164" fontId="1" fillId="0" borderId="0" xfId="3" applyNumberFormat="1" applyAlignment="1">
      <alignment horizontal="center"/>
    </xf>
    <xf numFmtId="0" fontId="14" fillId="32" borderId="4" xfId="3" applyFont="1" applyFill="1" applyBorder="1" applyProtection="1">
      <protection locked="0"/>
    </xf>
    <xf numFmtId="0" fontId="0" fillId="32" borderId="0" xfId="0" applyFill="1"/>
    <xf numFmtId="41" fontId="0" fillId="0" borderId="0" xfId="3" applyNumberFormat="1" applyFont="1"/>
    <xf numFmtId="4" fontId="1" fillId="32" borderId="6" xfId="3" applyNumberFormat="1" applyFill="1" applyBorder="1" applyAlignment="1">
      <alignment horizontal="center"/>
    </xf>
    <xf numFmtId="4" fontId="1" fillId="2" borderId="6" xfId="3" applyNumberFormat="1" applyFill="1" applyBorder="1" applyAlignment="1">
      <alignment horizontal="center"/>
    </xf>
    <xf numFmtId="10" fontId="13" fillId="4" borderId="6" xfId="3" applyNumberFormat="1" applyFont="1" applyFill="1" applyBorder="1" applyAlignment="1">
      <alignment horizontal="left"/>
    </xf>
    <xf numFmtId="0" fontId="14" fillId="0" borderId="6" xfId="4" applyFont="1" applyBorder="1" applyAlignment="1">
      <alignment horizontal="left"/>
    </xf>
    <xf numFmtId="8" fontId="0" fillId="0" borderId="6" xfId="3" applyNumberFormat="1" applyFont="1" applyBorder="1" applyAlignment="1">
      <alignment horizontal="center"/>
    </xf>
    <xf numFmtId="0" fontId="14" fillId="32" borderId="6" xfId="4" applyFont="1" applyFill="1" applyBorder="1" applyAlignment="1">
      <alignment horizontal="left"/>
    </xf>
    <xf numFmtId="8" fontId="13" fillId="2" borderId="6" xfId="3" applyNumberFormat="1" applyFont="1" applyFill="1" applyBorder="1" applyAlignment="1">
      <alignment horizontal="center"/>
    </xf>
    <xf numFmtId="0" fontId="13" fillId="2" borderId="6" xfId="3" applyFont="1" applyFill="1" applyBorder="1"/>
    <xf numFmtId="10" fontId="13" fillId="2" borderId="6" xfId="3" applyNumberFormat="1" applyFont="1" applyFill="1" applyBorder="1" applyAlignment="1">
      <alignment horizontal="left"/>
    </xf>
    <xf numFmtId="4" fontId="13" fillId="2" borderId="6" xfId="3" applyNumberFormat="1" applyFont="1" applyFill="1" applyBorder="1" applyAlignment="1">
      <alignment horizontal="center"/>
    </xf>
    <xf numFmtId="10" fontId="13" fillId="2" borderId="0" xfId="3" applyNumberFormat="1" applyFont="1" applyFill="1" applyAlignment="1">
      <alignment horizontal="center"/>
    </xf>
    <xf numFmtId="0" fontId="12" fillId="0" borderId="5" xfId="4" applyFont="1" applyBorder="1" applyAlignment="1">
      <alignment horizontal="center"/>
    </xf>
    <xf numFmtId="0" fontId="1" fillId="0" borderId="5" xfId="3" applyBorder="1" applyAlignment="1">
      <alignment horizontal="center"/>
    </xf>
    <xf numFmtId="2" fontId="13" fillId="0" borderId="5" xfId="3" applyNumberFormat="1" applyFont="1" applyBorder="1" applyAlignment="1" applyProtection="1">
      <alignment horizontal="center"/>
      <protection locked="0"/>
    </xf>
    <xf numFmtId="2" fontId="2" fillId="0" borderId="5" xfId="3" applyNumberFormat="1" applyFont="1" applyBorder="1" applyAlignment="1">
      <alignment horizontal="center"/>
    </xf>
    <xf numFmtId="0" fontId="2" fillId="0" borderId="5" xfId="3" applyFont="1" applyBorder="1" applyAlignment="1">
      <alignment horizontal="center"/>
    </xf>
    <xf numFmtId="2" fontId="2" fillId="0" borderId="9" xfId="3" applyNumberFormat="1" applyFont="1" applyBorder="1" applyAlignment="1">
      <alignment horizontal="center"/>
    </xf>
    <xf numFmtId="0" fontId="0" fillId="0" borderId="5" xfId="0" applyBorder="1" applyAlignment="1">
      <alignment horizontal="center"/>
    </xf>
    <xf numFmtId="10" fontId="13" fillId="0" borderId="5" xfId="3" applyNumberFormat="1" applyFont="1" applyBorder="1" applyAlignment="1" applyProtection="1">
      <alignment horizontal="center"/>
      <protection locked="0"/>
    </xf>
    <xf numFmtId="10" fontId="1" fillId="0" borderId="5" xfId="3" applyNumberFormat="1" applyBorder="1" applyAlignment="1">
      <alignment horizontal="center"/>
    </xf>
    <xf numFmtId="41" fontId="1" fillId="0" borderId="5" xfId="3" applyNumberFormat="1" applyBorder="1" applyAlignment="1">
      <alignment horizontal="center"/>
    </xf>
    <xf numFmtId="41" fontId="2" fillId="0" borderId="5" xfId="3" applyNumberFormat="1" applyFont="1" applyBorder="1" applyAlignment="1">
      <alignment horizontal="center"/>
    </xf>
    <xf numFmtId="41" fontId="13" fillId="0" borderId="5" xfId="3" applyNumberFormat="1" applyFont="1" applyBorder="1" applyAlignment="1" applyProtection="1">
      <alignment horizontal="center"/>
      <protection locked="0"/>
    </xf>
    <xf numFmtId="41" fontId="2" fillId="0" borderId="9" xfId="3" applyNumberFormat="1" applyFont="1" applyBorder="1" applyAlignment="1">
      <alignment horizontal="center"/>
    </xf>
    <xf numFmtId="0" fontId="12" fillId="0" borderId="3" xfId="4" applyFont="1" applyBorder="1" applyAlignment="1">
      <alignment horizontal="center"/>
    </xf>
    <xf numFmtId="41" fontId="15" fillId="0" borderId="5" xfId="4" applyNumberFormat="1" applyFont="1" applyBorder="1" applyAlignment="1" applyProtection="1">
      <alignment horizontal="center"/>
      <protection locked="0"/>
    </xf>
    <xf numFmtId="0" fontId="18" fillId="3" borderId="0" xfId="3" applyFont="1" applyFill="1" applyAlignment="1">
      <alignment horizontal="center" wrapText="1"/>
    </xf>
    <xf numFmtId="9" fontId="1" fillId="0" borderId="9" xfId="3" applyNumberFormat="1" applyBorder="1" applyAlignment="1">
      <alignment horizontal="center"/>
    </xf>
    <xf numFmtId="41" fontId="2" fillId="45" borderId="0" xfId="4" applyNumberFormat="1" applyFont="1" applyFill="1" applyAlignment="1">
      <alignment horizontal="center"/>
    </xf>
    <xf numFmtId="41" fontId="2" fillId="45" borderId="12" xfId="0" applyNumberFormat="1" applyFont="1" applyFill="1" applyBorder="1" applyAlignment="1">
      <alignment horizontal="center"/>
    </xf>
    <xf numFmtId="41" fontId="0" fillId="45" borderId="0" xfId="0" applyNumberFormat="1" applyFill="1"/>
    <xf numFmtId="44" fontId="0" fillId="0" borderId="0" xfId="6" applyFont="1"/>
    <xf numFmtId="0" fontId="0" fillId="0" borderId="4" xfId="3" applyFont="1" applyBorder="1" applyAlignment="1" applyProtection="1">
      <alignment wrapText="1"/>
      <protection locked="0"/>
    </xf>
    <xf numFmtId="43" fontId="0" fillId="0" borderId="0" xfId="5" applyFont="1"/>
    <xf numFmtId="43" fontId="0" fillId="0" borderId="0" xfId="5" applyFont="1" applyAlignment="1"/>
    <xf numFmtId="164" fontId="0" fillId="0" borderId="0" xfId="5" applyNumberFormat="1" applyFont="1"/>
    <xf numFmtId="0" fontId="97" fillId="34" borderId="1" xfId="12" applyFont="1" applyFill="1" applyBorder="1" applyAlignment="1">
      <alignment horizontal="left" vertical="top" wrapText="1"/>
    </xf>
    <xf numFmtId="0" fontId="97" fillId="34" borderId="2" xfId="12" applyFont="1" applyFill="1" applyBorder="1" applyAlignment="1">
      <alignment horizontal="left" vertical="top" wrapText="1"/>
    </xf>
    <xf numFmtId="0" fontId="97" fillId="34" borderId="3" xfId="12" applyFont="1" applyFill="1" applyBorder="1" applyAlignment="1">
      <alignment horizontal="left" vertical="top" wrapText="1"/>
    </xf>
    <xf numFmtId="0" fontId="97" fillId="34" borderId="4" xfId="12" applyFont="1" applyFill="1" applyBorder="1" applyAlignment="1">
      <alignment horizontal="left" vertical="top" wrapText="1"/>
    </xf>
    <xf numFmtId="0" fontId="97" fillId="34" borderId="0" xfId="12" applyFont="1" applyFill="1" applyAlignment="1">
      <alignment horizontal="left" vertical="top" wrapText="1"/>
    </xf>
    <xf numFmtId="0" fontId="97" fillId="34" borderId="5" xfId="12" applyFont="1" applyFill="1" applyBorder="1" applyAlignment="1">
      <alignment horizontal="left" vertical="top" wrapText="1"/>
    </xf>
    <xf numFmtId="0" fontId="97" fillId="34" borderId="7" xfId="12" applyFont="1" applyFill="1" applyBorder="1" applyAlignment="1">
      <alignment horizontal="left" vertical="top" wrapText="1"/>
    </xf>
    <xf numFmtId="0" fontId="97" fillId="34" borderId="8" xfId="12" applyFont="1" applyFill="1" applyBorder="1" applyAlignment="1">
      <alignment horizontal="left" vertical="top" wrapText="1"/>
    </xf>
    <xf numFmtId="0" fontId="97" fillId="34" borderId="9" xfId="12" applyFont="1" applyFill="1" applyBorder="1" applyAlignment="1">
      <alignment horizontal="left" vertical="top" wrapText="1"/>
    </xf>
    <xf numFmtId="0" fontId="98" fillId="2" borderId="1" xfId="12" applyFont="1" applyFill="1" applyBorder="1" applyAlignment="1">
      <alignment horizontal="left" vertical="top" wrapText="1"/>
    </xf>
    <xf numFmtId="0" fontId="97" fillId="2" borderId="2" xfId="12" applyFont="1" applyFill="1" applyBorder="1" applyAlignment="1">
      <alignment horizontal="left" vertical="top" wrapText="1"/>
    </xf>
    <xf numFmtId="0" fontId="97" fillId="2" borderId="3" xfId="12" applyFont="1" applyFill="1" applyBorder="1" applyAlignment="1">
      <alignment horizontal="left" vertical="top" wrapText="1"/>
    </xf>
    <xf numFmtId="0" fontId="97" fillId="2" borderId="4" xfId="12" applyFont="1" applyFill="1" applyBorder="1" applyAlignment="1">
      <alignment horizontal="left" vertical="top" wrapText="1"/>
    </xf>
    <xf numFmtId="0" fontId="97" fillId="2" borderId="0" xfId="12" applyFont="1" applyFill="1" applyAlignment="1">
      <alignment horizontal="left" vertical="top" wrapText="1"/>
    </xf>
    <xf numFmtId="0" fontId="97" fillId="2" borderId="5" xfId="12" applyFont="1" applyFill="1" applyBorder="1" applyAlignment="1">
      <alignment horizontal="left" vertical="top" wrapText="1"/>
    </xf>
    <xf numFmtId="0" fontId="97" fillId="2" borderId="7" xfId="12" applyFont="1" applyFill="1" applyBorder="1" applyAlignment="1">
      <alignment horizontal="left" vertical="top" wrapText="1"/>
    </xf>
    <xf numFmtId="0" fontId="97" fillId="2" borderId="8" xfId="12" applyFont="1" applyFill="1" applyBorder="1" applyAlignment="1">
      <alignment horizontal="left" vertical="top" wrapText="1"/>
    </xf>
    <xf numFmtId="0" fontId="97" fillId="2" borderId="9" xfId="12" applyFont="1" applyFill="1" applyBorder="1" applyAlignment="1">
      <alignment horizontal="left" vertical="top" wrapText="1"/>
    </xf>
    <xf numFmtId="0" fontId="100" fillId="2" borderId="58" xfId="12" applyFont="1" applyFill="1" applyBorder="1" applyAlignment="1">
      <alignment horizontal="left" vertical="center" wrapText="1"/>
    </xf>
    <xf numFmtId="0" fontId="100" fillId="2" borderId="29" xfId="12" applyFont="1" applyFill="1" applyBorder="1" applyAlignment="1">
      <alignment horizontal="left" vertical="center" wrapText="1"/>
    </xf>
    <xf numFmtId="0" fontId="100" fillId="2" borderId="31" xfId="12" applyFont="1" applyFill="1" applyBorder="1" applyAlignment="1">
      <alignment horizontal="left" vertical="center" wrapText="1"/>
    </xf>
    <xf numFmtId="0" fontId="99" fillId="36" borderId="26" xfId="15" applyFont="1" applyFill="1" applyBorder="1" applyAlignment="1">
      <alignment horizontal="center" vertical="center"/>
    </xf>
    <xf numFmtId="0" fontId="99" fillId="36" borderId="27" xfId="15" applyFont="1" applyFill="1" applyBorder="1" applyAlignment="1">
      <alignment horizontal="center" vertical="center"/>
    </xf>
    <xf numFmtId="0" fontId="99" fillId="36" borderId="28" xfId="15" applyFont="1" applyFill="1" applyBorder="1" applyAlignment="1">
      <alignment horizontal="center" vertical="center"/>
    </xf>
    <xf numFmtId="0" fontId="37" fillId="0" borderId="27" xfId="15" applyFont="1" applyBorder="1" applyAlignment="1">
      <alignment horizontal="center"/>
    </xf>
    <xf numFmtId="0" fontId="95" fillId="2" borderId="1" xfId="12" applyFont="1" applyFill="1" applyBorder="1" applyAlignment="1">
      <alignment horizontal="center" vertical="center" wrapText="1"/>
    </xf>
    <xf numFmtId="0" fontId="95" fillId="2" borderId="2" xfId="12" applyFont="1" applyFill="1" applyBorder="1" applyAlignment="1">
      <alignment horizontal="center" vertical="center" wrapText="1"/>
    </xf>
    <xf numFmtId="0" fontId="95" fillId="2" borderId="3" xfId="12" applyFont="1" applyFill="1" applyBorder="1" applyAlignment="1">
      <alignment horizontal="center" vertical="center" wrapText="1"/>
    </xf>
    <xf numFmtId="0" fontId="95" fillId="2" borderId="4" xfId="12" applyFont="1" applyFill="1" applyBorder="1" applyAlignment="1">
      <alignment horizontal="center" vertical="center" wrapText="1"/>
    </xf>
    <xf numFmtId="0" fontId="95" fillId="2" borderId="0" xfId="12" applyFont="1" applyFill="1" applyAlignment="1">
      <alignment horizontal="center" vertical="center" wrapText="1"/>
    </xf>
    <xf numFmtId="0" fontId="95" fillId="2" borderId="5" xfId="12" applyFont="1" applyFill="1" applyBorder="1" applyAlignment="1">
      <alignment horizontal="center" vertical="center" wrapText="1"/>
    </xf>
    <xf numFmtId="0" fontId="95" fillId="2" borderId="7" xfId="12" applyFont="1" applyFill="1" applyBorder="1" applyAlignment="1">
      <alignment horizontal="center" vertical="center" wrapText="1"/>
    </xf>
    <xf numFmtId="0" fontId="95" fillId="2" borderId="8" xfId="12" applyFont="1" applyFill="1" applyBorder="1" applyAlignment="1">
      <alignment horizontal="center" vertical="center" wrapText="1"/>
    </xf>
    <xf numFmtId="0" fontId="95" fillId="2" borderId="9" xfId="12" applyFont="1" applyFill="1" applyBorder="1" applyAlignment="1">
      <alignment horizontal="center" vertical="center" wrapText="1"/>
    </xf>
    <xf numFmtId="0" fontId="95" fillId="2" borderId="1" xfId="12" applyFont="1" applyFill="1" applyBorder="1" applyAlignment="1">
      <alignment horizontal="center" wrapText="1"/>
    </xf>
    <xf numFmtId="0" fontId="95" fillId="2" borderId="2" xfId="12" applyFont="1" applyFill="1" applyBorder="1" applyAlignment="1">
      <alignment horizontal="center" wrapText="1"/>
    </xf>
    <xf numFmtId="0" fontId="95" fillId="2" borderId="3" xfId="12" applyFont="1" applyFill="1" applyBorder="1" applyAlignment="1">
      <alignment horizontal="center" wrapText="1"/>
    </xf>
    <xf numFmtId="0" fontId="95" fillId="2" borderId="4" xfId="12" applyFont="1" applyFill="1" applyBorder="1" applyAlignment="1">
      <alignment horizontal="center" wrapText="1"/>
    </xf>
    <xf numFmtId="0" fontId="95" fillId="2" borderId="0" xfId="12" applyFont="1" applyFill="1" applyAlignment="1">
      <alignment horizontal="center" wrapText="1"/>
    </xf>
    <xf numFmtId="0" fontId="95" fillId="2" borderId="5" xfId="12" applyFont="1" applyFill="1" applyBorder="1" applyAlignment="1">
      <alignment horizontal="center" wrapText="1"/>
    </xf>
    <xf numFmtId="0" fontId="95" fillId="2" borderId="7" xfId="12" applyFont="1" applyFill="1" applyBorder="1" applyAlignment="1">
      <alignment horizontal="center" wrapText="1"/>
    </xf>
    <xf numFmtId="0" fontId="95" fillId="2" borderId="8" xfId="12" applyFont="1" applyFill="1" applyBorder="1" applyAlignment="1">
      <alignment horizontal="center" wrapText="1"/>
    </xf>
    <xf numFmtId="0" fontId="95" fillId="2" borderId="9" xfId="12" applyFont="1" applyFill="1" applyBorder="1" applyAlignment="1">
      <alignment horizontal="center" wrapText="1"/>
    </xf>
    <xf numFmtId="0" fontId="99" fillId="38" borderId="1" xfId="15" applyFont="1" applyFill="1" applyBorder="1" applyAlignment="1">
      <alignment horizontal="left" wrapText="1"/>
    </xf>
    <xf numFmtId="0" fontId="99" fillId="38" borderId="2" xfId="15" applyFont="1" applyFill="1" applyBorder="1" applyAlignment="1">
      <alignment horizontal="left" wrapText="1"/>
    </xf>
    <xf numFmtId="0" fontId="99" fillId="38" borderId="3" xfId="15" applyFont="1" applyFill="1" applyBorder="1" applyAlignment="1">
      <alignment horizontal="left" wrapText="1"/>
    </xf>
    <xf numFmtId="0" fontId="99" fillId="38" borderId="7" xfId="15" applyFont="1" applyFill="1" applyBorder="1" applyAlignment="1">
      <alignment horizontal="left" wrapText="1"/>
    </xf>
    <xf numFmtId="0" fontId="99" fillId="38" borderId="8" xfId="15" applyFont="1" applyFill="1" applyBorder="1" applyAlignment="1">
      <alignment horizontal="left" wrapText="1"/>
    </xf>
    <xf numFmtId="0" fontId="99" fillId="38" borderId="9" xfId="15" applyFont="1" applyFill="1" applyBorder="1" applyAlignment="1">
      <alignment horizontal="left" wrapText="1"/>
    </xf>
    <xf numFmtId="0" fontId="102" fillId="14" borderId="1" xfId="12" applyFont="1" applyFill="1" applyBorder="1" applyAlignment="1">
      <alignment horizontal="center" wrapText="1"/>
    </xf>
    <xf numFmtId="0" fontId="102" fillId="14" borderId="2" xfId="12" applyFont="1" applyFill="1" applyBorder="1" applyAlignment="1">
      <alignment horizontal="center" wrapText="1"/>
    </xf>
    <xf numFmtId="0" fontId="102" fillId="14" borderId="3" xfId="12" applyFont="1" applyFill="1" applyBorder="1" applyAlignment="1">
      <alignment horizontal="center" wrapText="1"/>
    </xf>
    <xf numFmtId="0" fontId="102" fillId="14" borderId="7" xfId="12" applyFont="1" applyFill="1" applyBorder="1" applyAlignment="1">
      <alignment horizontal="center" wrapText="1"/>
    </xf>
    <xf numFmtId="0" fontId="102" fillId="14" borderId="8" xfId="12" applyFont="1" applyFill="1" applyBorder="1" applyAlignment="1">
      <alignment horizontal="center" wrapText="1"/>
    </xf>
    <xf numFmtId="0" fontId="102" fillId="14" borderId="9" xfId="12" applyFont="1" applyFill="1" applyBorder="1" applyAlignment="1">
      <alignment horizontal="center" wrapText="1"/>
    </xf>
    <xf numFmtId="0" fontId="102" fillId="37" borderId="1" xfId="12" applyFont="1" applyFill="1" applyBorder="1" applyAlignment="1">
      <alignment horizontal="center" vertical="center" wrapText="1"/>
    </xf>
    <xf numFmtId="0" fontId="102" fillId="37" borderId="2" xfId="12" applyFont="1" applyFill="1" applyBorder="1" applyAlignment="1">
      <alignment horizontal="center" vertical="center" wrapText="1"/>
    </xf>
    <xf numFmtId="0" fontId="102" fillId="37" borderId="3" xfId="12" applyFont="1" applyFill="1" applyBorder="1" applyAlignment="1">
      <alignment horizontal="center" vertical="center" wrapText="1"/>
    </xf>
    <xf numFmtId="0" fontId="102" fillId="37" borderId="4" xfId="12" applyFont="1" applyFill="1" applyBorder="1" applyAlignment="1">
      <alignment horizontal="center" vertical="center" wrapText="1"/>
    </xf>
    <xf numFmtId="0" fontId="102" fillId="37" borderId="0" xfId="12" applyFont="1" applyFill="1" applyAlignment="1">
      <alignment horizontal="center" vertical="center" wrapText="1"/>
    </xf>
    <xf numFmtId="0" fontId="102" fillId="37" borderId="5" xfId="12" applyFont="1" applyFill="1" applyBorder="1" applyAlignment="1">
      <alignment horizontal="center" vertical="center" wrapText="1"/>
    </xf>
    <xf numFmtId="0" fontId="102" fillId="37" borderId="7" xfId="12" applyFont="1" applyFill="1" applyBorder="1" applyAlignment="1">
      <alignment horizontal="center" vertical="center" wrapText="1"/>
    </xf>
    <xf numFmtId="0" fontId="102" fillId="37" borderId="8" xfId="12" applyFont="1" applyFill="1" applyBorder="1" applyAlignment="1">
      <alignment horizontal="center" vertical="center" wrapText="1"/>
    </xf>
    <xf numFmtId="0" fontId="102" fillId="37" borderId="9" xfId="12" applyFont="1" applyFill="1" applyBorder="1" applyAlignment="1">
      <alignment horizontal="center" vertical="center" wrapText="1"/>
    </xf>
    <xf numFmtId="0" fontId="0" fillId="0" borderId="2" xfId="0" applyBorder="1" applyAlignment="1">
      <alignment wrapText="1"/>
    </xf>
    <xf numFmtId="0" fontId="0" fillId="0" borderId="0" xfId="0" applyAlignment="1">
      <alignment wrapText="1"/>
    </xf>
    <xf numFmtId="41" fontId="5" fillId="3" borderId="0" xfId="1" applyNumberFormat="1" applyFont="1" applyFill="1" applyAlignment="1">
      <alignment horizontal="center" vertical="center" wrapText="1"/>
    </xf>
    <xf numFmtId="0" fontId="0" fillId="3" borderId="0" xfId="0" applyFill="1" applyAlignment="1">
      <alignment horizontal="center" vertical="center" wrapText="1"/>
    </xf>
    <xf numFmtId="0" fontId="0" fillId="0" borderId="0" xfId="0" applyAlignment="1">
      <alignment horizontal="center"/>
    </xf>
    <xf numFmtId="0" fontId="0" fillId="0" borderId="0" xfId="0"/>
    <xf numFmtId="0" fontId="0" fillId="0" borderId="4" xfId="0" quotePrefix="1" applyBorder="1" applyAlignment="1">
      <alignment wrapText="1"/>
    </xf>
    <xf numFmtId="0" fontId="10" fillId="0" borderId="0" xfId="0" applyFont="1" applyAlignment="1">
      <alignment horizontal="center"/>
    </xf>
    <xf numFmtId="0" fontId="2" fillId="0" borderId="0" xfId="0" applyFont="1" applyAlignment="1">
      <alignment wrapText="1"/>
    </xf>
    <xf numFmtId="12" fontId="20" fillId="2" borderId="6" xfId="0" quotePrefix="1" applyNumberFormat="1" applyFont="1" applyFill="1" applyBorder="1" applyAlignment="1" applyProtection="1">
      <alignment horizontal="left" vertical="top" wrapText="1"/>
      <protection locked="0"/>
    </xf>
    <xf numFmtId="12" fontId="0" fillId="0" borderId="6" xfId="0" applyNumberFormat="1" applyBorder="1" applyAlignment="1" applyProtection="1">
      <alignment horizontal="left" vertical="top" wrapText="1"/>
      <protection locked="0"/>
    </xf>
    <xf numFmtId="0" fontId="20" fillId="2" borderId="6" xfId="0" quotePrefix="1" applyFont="1" applyFill="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3" borderId="0" xfId="0" applyFill="1"/>
    <xf numFmtId="12" fontId="110" fillId="2" borderId="6" xfId="2" quotePrefix="1" applyNumberFormat="1" applyFont="1" applyFill="1" applyBorder="1" applyAlignment="1" applyProtection="1">
      <alignment horizontal="left" vertical="top" wrapText="1"/>
      <protection locked="0"/>
    </xf>
    <xf numFmtId="12" fontId="111" fillId="0" borderId="6" xfId="0" applyNumberFormat="1" applyFont="1" applyBorder="1" applyAlignment="1" applyProtection="1">
      <alignment horizontal="left" vertical="top" wrapText="1"/>
      <protection locked="0"/>
    </xf>
    <xf numFmtId="12" fontId="0" fillId="2" borderId="6" xfId="0" applyNumberFormat="1" applyFill="1" applyBorder="1" applyAlignment="1" applyProtection="1">
      <alignment horizontal="left" vertical="top" wrapText="1"/>
      <protection locked="0"/>
    </xf>
    <xf numFmtId="0" fontId="0" fillId="3" borderId="0" xfId="0" applyFill="1" applyAlignment="1">
      <alignment horizontal="center"/>
    </xf>
    <xf numFmtId="0" fontId="0" fillId="3" borderId="0" xfId="0" applyFill="1" applyAlignment="1">
      <alignment wrapText="1"/>
    </xf>
    <xf numFmtId="0" fontId="13" fillId="4" borderId="1" xfId="0" applyFont="1" applyFill="1" applyBorder="1" applyProtection="1">
      <protection locked="0"/>
    </xf>
    <xf numFmtId="0" fontId="13" fillId="4" borderId="2" xfId="0" applyFont="1" applyFill="1" applyBorder="1" applyProtection="1">
      <protection locked="0"/>
    </xf>
    <xf numFmtId="0" fontId="13" fillId="4" borderId="3" xfId="0" applyFont="1" applyFill="1" applyBorder="1" applyProtection="1">
      <protection locked="0"/>
    </xf>
    <xf numFmtId="0" fontId="13" fillId="4" borderId="4" xfId="0" applyFont="1" applyFill="1" applyBorder="1" applyProtection="1">
      <protection locked="0"/>
    </xf>
    <xf numFmtId="0" fontId="13" fillId="4" borderId="0" xfId="0" applyFont="1" applyFill="1" applyProtection="1">
      <protection locked="0"/>
    </xf>
    <xf numFmtId="0" fontId="13" fillId="4" borderId="5" xfId="0" applyFont="1" applyFill="1" applyBorder="1" applyProtection="1">
      <protection locked="0"/>
    </xf>
    <xf numFmtId="0" fontId="13" fillId="4" borderId="7" xfId="0" applyFont="1" applyFill="1" applyBorder="1" applyProtection="1">
      <protection locked="0"/>
    </xf>
    <xf numFmtId="0" fontId="13" fillId="4" borderId="8" xfId="0" applyFont="1" applyFill="1" applyBorder="1" applyProtection="1">
      <protection locked="0"/>
    </xf>
    <xf numFmtId="0" fontId="13" fillId="4" borderId="9" xfId="0" applyFont="1" applyFill="1" applyBorder="1" applyProtection="1">
      <protection locked="0"/>
    </xf>
    <xf numFmtId="41" fontId="5" fillId="3" borderId="1" xfId="1" applyNumberFormat="1" applyFont="1" applyFill="1" applyBorder="1" applyAlignment="1">
      <alignment horizontal="center" vertical="center" wrapText="1"/>
    </xf>
    <xf numFmtId="0" fontId="0" fillId="3" borderId="2" xfId="0" applyFill="1" applyBorder="1"/>
    <xf numFmtId="0" fontId="0" fillId="3" borderId="3" xfId="0" applyFill="1" applyBorder="1"/>
    <xf numFmtId="41" fontId="17" fillId="3" borderId="2" xfId="1" applyNumberFormat="1"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xf>
    <xf numFmtId="41" fontId="17" fillId="3" borderId="0" xfId="1" applyNumberFormat="1" applyFont="1" applyFill="1" applyAlignment="1">
      <alignment horizontal="center" vertical="center" wrapText="1"/>
    </xf>
    <xf numFmtId="0" fontId="2" fillId="0" borderId="0" xfId="0" applyFont="1" applyAlignment="1">
      <alignment horizontal="center"/>
    </xf>
    <xf numFmtId="0" fontId="18" fillId="3" borderId="0" xfId="0" applyFont="1" applyFill="1" applyAlignment="1">
      <alignment horizontal="center"/>
    </xf>
    <xf numFmtId="0" fontId="18" fillId="0" borderId="0" xfId="0" applyFont="1" applyAlignment="1">
      <alignment horizontal="center"/>
    </xf>
    <xf numFmtId="41" fontId="5" fillId="3" borderId="4" xfId="1" applyNumberFormat="1" applyFont="1" applyFill="1" applyBorder="1" applyAlignment="1">
      <alignment horizontal="center" vertical="center" wrapText="1"/>
    </xf>
    <xf numFmtId="41" fontId="5" fillId="3" borderId="5" xfId="1" applyNumberFormat="1" applyFont="1" applyFill="1" applyBorder="1" applyAlignment="1">
      <alignment horizontal="center" vertical="center" wrapText="1"/>
    </xf>
    <xf numFmtId="12" fontId="10" fillId="0" borderId="4" xfId="0" applyNumberFormat="1" applyFont="1" applyBorder="1" applyAlignment="1">
      <alignment horizontal="center"/>
    </xf>
    <xf numFmtId="0" fontId="10" fillId="0" borderId="5" xfId="0" applyFont="1" applyBorder="1" applyAlignment="1">
      <alignment horizontal="center"/>
    </xf>
    <xf numFmtId="0" fontId="10" fillId="0" borderId="4" xfId="0" applyFont="1" applyBorder="1" applyAlignment="1">
      <alignment horizontal="center"/>
    </xf>
    <xf numFmtId="41" fontId="5" fillId="3" borderId="2" xfId="1" applyNumberFormat="1" applyFont="1" applyFill="1" applyBorder="1" applyAlignment="1">
      <alignment horizontal="center" vertical="center" wrapText="1"/>
    </xf>
    <xf numFmtId="41" fontId="17" fillId="3" borderId="4" xfId="1" applyNumberFormat="1" applyFont="1" applyFill="1" applyBorder="1" applyAlignment="1">
      <alignment horizontal="center" vertical="center" wrapText="1"/>
    </xf>
    <xf numFmtId="41" fontId="17" fillId="3" borderId="5" xfId="1" applyNumberFormat="1" applyFont="1" applyFill="1" applyBorder="1" applyAlignment="1">
      <alignment horizontal="center" vertical="center" wrapText="1"/>
    </xf>
    <xf numFmtId="41" fontId="17" fillId="3" borderId="1" xfId="1" applyNumberFormat="1" applyFont="1" applyFill="1" applyBorder="1" applyAlignment="1">
      <alignment horizontal="center" vertical="center" wrapText="1"/>
    </xf>
    <xf numFmtId="41" fontId="17" fillId="3" borderId="3" xfId="1" applyNumberFormat="1" applyFont="1" applyFill="1" applyBorder="1" applyAlignment="1">
      <alignment horizontal="center" vertical="center" wrapText="1"/>
    </xf>
    <xf numFmtId="0" fontId="2" fillId="0" borderId="4" xfId="0" applyFont="1" applyBorder="1" applyAlignment="1">
      <alignment horizontal="center"/>
    </xf>
    <xf numFmtId="0" fontId="2" fillId="0" borderId="5" xfId="0" applyFont="1" applyBorder="1" applyAlignment="1">
      <alignment horizontal="center"/>
    </xf>
  </cellXfs>
  <cellStyles count="18">
    <cellStyle name="Comma" xfId="5" builtinId="3"/>
    <cellStyle name="Comma 2" xfId="11" xr:uid="{0C521EAC-38C4-404F-8BE7-5299CB35668F}"/>
    <cellStyle name="Currency" xfId="6" builtinId="4"/>
    <cellStyle name="Currency 2" xfId="10" xr:uid="{EF18F752-E851-4D4A-A0E5-B6126BD58C7E}"/>
    <cellStyle name="Hyperlink" xfId="2" builtinId="8"/>
    <cellStyle name="Hyperlink 2" xfId="16" xr:uid="{0CA39C29-FC6C-47A8-AB09-0BEAC8E7298B}"/>
    <cellStyle name="Normal" xfId="0" builtinId="0"/>
    <cellStyle name="Normal 2" xfId="3" xr:uid="{00000000-0005-0000-0000-000002000000}"/>
    <cellStyle name="Normal 2 2" xfId="4" xr:uid="{00000000-0005-0000-0000-000003000000}"/>
    <cellStyle name="Normal 2 2 2" xfId="9" xr:uid="{E9CA37D9-78E7-4AAC-8EAF-70AB2B39F9A0}"/>
    <cellStyle name="Normal 2 3" xfId="12" xr:uid="{D42FC90B-E292-453D-A49D-C50F676D87AD}"/>
    <cellStyle name="Normal 3" xfId="8" xr:uid="{97717DA0-6E27-4B53-A024-4A3D6ABC440A}"/>
    <cellStyle name="Normal 3 2" xfId="1" xr:uid="{00000000-0005-0000-0000-000004000000}"/>
    <cellStyle name="Normal 3 3" xfId="15" xr:uid="{1FE23AA4-963A-4C2B-B51E-1CE50BC46ADA}"/>
    <cellStyle name="Normal 4" xfId="14" xr:uid="{15C34A99-1438-46DB-8EEB-A22154CC8DB8}"/>
    <cellStyle name="Normal 7" xfId="13" xr:uid="{17B5EEB0-6623-4486-A0EB-B90FC10B2FF8}"/>
    <cellStyle name="Percent" xfId="7" builtinId="5"/>
    <cellStyle name="Percent 2" xfId="17" xr:uid="{577A83C9-AB7C-40D0-A8E6-989029FBBFD9}"/>
  </cellStyles>
  <dxfs count="2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56</xdr:row>
      <xdr:rowOff>0</xdr:rowOff>
    </xdr:from>
    <xdr:to>
      <xdr:col>2</xdr:col>
      <xdr:colOff>0</xdr:colOff>
      <xdr:row>74</xdr:row>
      <xdr:rowOff>28933</xdr:rowOff>
    </xdr:to>
    <xdr:sp macro="" textlink="">
      <xdr:nvSpPr>
        <xdr:cNvPr id="2" name="Right Brace 1">
          <a:extLst>
            <a:ext uri="{FF2B5EF4-FFF2-40B4-BE49-F238E27FC236}">
              <a16:creationId xmlns:a16="http://schemas.microsoft.com/office/drawing/2014/main" id="{D10F3814-BB8D-4C95-9EB3-765919F50A08}"/>
            </a:ext>
          </a:extLst>
        </xdr:cNvPr>
        <xdr:cNvSpPr/>
      </xdr:nvSpPr>
      <xdr:spPr>
        <a:xfrm>
          <a:off x="3517900" y="8070850"/>
          <a:ext cx="0" cy="35595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1948180</xdr:colOff>
      <xdr:row>1</xdr:row>
      <xdr:rowOff>71120</xdr:rowOff>
    </xdr:from>
    <xdr:to>
      <xdr:col>4</xdr:col>
      <xdr:colOff>1201420</xdr:colOff>
      <xdr:row>4</xdr:row>
      <xdr:rowOff>193040</xdr:rowOff>
    </xdr:to>
    <xdr:pic>
      <xdr:nvPicPr>
        <xdr:cNvPr id="3" name="Picture 2" descr="https://tdoe.tncompass.org/Content/Images/tdoe/TN-Dept-of-Education-Color_175x70_png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8020" y="264160"/>
          <a:ext cx="2047240" cy="670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304800</xdr:colOff>
      <xdr:row>8</xdr:row>
      <xdr:rowOff>121920</xdr:rowOff>
    </xdr:to>
    <xdr:sp macro="" textlink="">
      <xdr:nvSpPr>
        <xdr:cNvPr id="1028" name="AutoShape 4" descr="Image result for tennessee charter school center">
          <a:extLst>
            <a:ext uri="{FF2B5EF4-FFF2-40B4-BE49-F238E27FC236}">
              <a16:creationId xmlns:a16="http://schemas.microsoft.com/office/drawing/2014/main" id="{00000000-0008-0000-0100-000004040000}"/>
            </a:ext>
          </a:extLst>
        </xdr:cNvPr>
        <xdr:cNvSpPr>
          <a:spLocks noChangeAspect="1" noChangeArrowheads="1"/>
        </xdr:cNvSpPr>
      </xdr:nvSpPr>
      <xdr:spPr bwMode="auto">
        <a:xfrm>
          <a:off x="10744200" y="15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xdr:row>
      <xdr:rowOff>0</xdr:rowOff>
    </xdr:from>
    <xdr:to>
      <xdr:col>8</xdr:col>
      <xdr:colOff>304800</xdr:colOff>
      <xdr:row>11</xdr:row>
      <xdr:rowOff>304800</xdr:rowOff>
    </xdr:to>
    <xdr:sp macro="" textlink="">
      <xdr:nvSpPr>
        <xdr:cNvPr id="1029" name="AutoShape 5" descr="data:image/png;base64,iVBORw0KGgoAAAANSUhEUgAAAbwAAABxCAMAAACZb+YzAAAAz1BMVEX////veCYFUYU2irj///4mhLUxiLcAR3/vdiPy+Pv+9vHuchNEkr3O2+T62MjwgTbd6PCUrsXubwT3vp774tPL3OkXgLMASoF3ka66xtRcnsV9r87q8fZhh6ewzuG40+SawNjY5e6Gss9lpMcAQHyoyd5Ql8Du9fk/kLyOutRyqcrB2OadwtmktMf4x6z507z98en1qH3wfi/xi0j5z7f2t5LzmWPyj1LwhkL98Ov1sIjzonP0pnf84tL52cb2upcAMXNHdp3zmmkAd67xklnWFpDrAAAZi0lEQVR4nO2dC3+bOLbAyQAaE3unXDcwu8BiAwPm4Zukbdpm0m1mt9Pv/5nuOXqABMJx/OiO748z0zaRhST015GOXsfGTwfJz/9jXM+vDpHZm2tjkhPJBO+CZYJ3wTLBu2CZ4F2wTPAuWCZ4FywTvAsWGcmvu2UveDP4fzafz2ez2QTv3CKz++du+c8e8Gbz5fLNpy8f3335/n651ESZ4J1QZHVydkf9x88vwZstZ0/Ploh//fwEGjjBO5/I8Da7o74Ebzb/cNd/5uFxPsE7m5wO3vzqFiJZvYest+rgN8E7oZwM3vz7fR+dRf+7/zCf4J1HJHi/HQNv+c5i6CR+Fguyvs0neGeRUYOlT8Iwmh3w5u/YQ/jA9fPDw8PzPU8GCb6fTfDOIRK8n37r5N//YB//Uwr7+adRePPvNDayu/sAUwT4DwxPzs/4NGneeeQnvfxM4VnG33/Vf6zCm11dsw7SuPmwFFoGU74nCurdchrzziM74Rl7wlveGWx4e1DmdbP5m6+G8VZmN8E7pZwC3uwzG9p67Ci+24fl1QTvTHIKeMuvzDC5Xw4WNAdLnBO8E8oJ4M0+MHbGG/1a9ATvXHICePO3LG6vg3wFPKu/LiPCz/POJxelnPgy8CdZr5NDkrJGa2MoJ4C35FOCD3so3gg8Y7seSH7Aq//XJMrDoCiKrPIc3g3Fvh+fO9fj4c0eWUu532t3dqTbJPZAisvRPLcmNsFXILZfbtm6YGzbB8CzjHy73Tv2CeB9Y5W8V685Bs/2mdimKX4sLgQddBsEqRV1XQA+0y4S7PkOhOeUNtk79vHw5k8s6tPhmmcZEZfctrfsJze6EHhGCOjMmK4tWk3ggwqu4MfD4BnGgph7xz0BvD+Y5n3aZ8gb0byW08qmb84CL4NeCuzW9CdaYK+06a8HwnN+MDxubB4Bj1tYlgrvMoa8lU8YJYubmU6Q4q8Xonlvj9c8Jgxe3P0KAZHXNK7TgnQ2G/zJbRrP5TFoIP4AgY3bbkTR9uBgxMho90gwwaRJXDnLjQsBTi/LZGO0qo9/bxKekNKiEBUMcrkIlD/j8ET5O4lckA2FTeNvNvRjKKoDbxIBPHgfEPF6oji8eePL0mQS7xTwPrJC/+sYa1MHD35vAuKDEVdWDg+ozcIxVgU1RwOP11Zomi5EZTbqStQhVOx6gUEkaNoEvcD0bZ8UacIDotrEOGXdcFhJRgPMMBJtAyoqLX2akDfoy3MI7SL24SUZLf8iF/knVQEWGeSXebScEELMCj5al/afrhGbpWmSEoWnmtQmrYFatNWtSRIWvDgFPLaVZ7w9OTxqCqAJCgZBwiIE9sJJofrhPzAMchHNjnKfxSR+JWoyKcXjfi2q2mchACKj7SEBA58FoJEIUtk0AOKRRkBp4BcaSUpcFHhh2p72ZQBe09DEbJPYWVtSNimCwoesj0h8uzI2JZbchfKBuUobj1/Q3Nd2W74Va11r20+wyZikOMVU4RN7oV8GJ8WOhZdBEWPoEb0Aqi1iQaQIfbL23CQ3oQJYvYWEVD5JMRA6HZgb0/IkUE/YvqMcIjJ6CdRjHm2iBioxwACnJHblbjZeBTWGfS9aH9sIWzZkyRW2AZIhkHW3kFClFhn0ptQPzrFNQsi3SRLoKEz+HCRVx17ixfBGSI8Vs3IAL1lkkZHEeUnMVQxCh354LVKBziWhbfrMGACcCY6z0HucAt57hsO6OiE8bHUV9Eh8tFhDWennGdRfwDp9sMtIwOGZdsnHsRpq07E4Fz7d3SwIErWw4fMlqyik8RtqGdK632K+UCtlJCrfJA4+FIFSrFjpXJO2F4nVChDpXwafJ54ovomNDzryXAx/DbQyWgSEBy2l4tkahWSwNDYR7wUZETqyA7yY2AvasI6HRzcVUPaa6O2reZbhwoS9HelrYtPiArxSHLWJhD4CPCLGMKPk+gj9X9vHudAX4b8wLKpqAn2QK1k4qAGtMVNxsLXoniGShyNclwLt1kaW8QAeFpkdwspYGnLWWwCG/wK8hWm2y6DtVAFLtSB2IkbZrc20FxrCQvTCJ4AnZun3By9Mt3Uhd5sV/sgtMnzFgGkeqJMwSEJOFLrNsA2E6qQxCFhtrXlR2bQPDIjNyXNgaxxKLL4cbGHuVZvQxoRqBMUjZNEd6MlodXYFhkIKa2gAj/cL1PCy7VAkwSUy2ecJLip1w6Y8z4On0rYG4IVKh8GDArGUTgBvdsXf7aOG3uwVh25VzSuILX0CvcmGVZ7bhuW82QuINBCUA+dZni8PTwmrPBjRmFki1u5hDDJpl8jsdhhk3a6GQzQh0PCQdKux28ZDZRc83mtTc5+RVKzSgpSsaCYtMBdZ80JiSxsTKfttDf2tx1M6Abyr5S03sz8PT1G//7j/TrqieRswCKXPKjZcZcSM2rBVB89tq8W1qRrmSq3CAFgwLSJ2EUvztQA6t5Lu3WB1EBxZ5epfCYRCNr46xsG4PLKOrEzShZoB/bCAQphB1SxQgSg8W8pA0jwrkJovbTeYIB3++cueAt5szivjukdvNv98bdzufYZF0TwXbIegE7A5sG/JYKrQxlfgiSRcZkKkYM1IAl0T/XBBV/6LfCPo1Wi1+9Sksww1y4IundRqQgSalGKw2LWhFRUet60SNl+k5r8p4JFCmsRL8KDFmZlcHDpIrm2+GHcieDjqMT2+/raUTM7Z8gmDb/c9PaZYmwm8nS/Ln7vhKZqH8NrtCbpb4f/JsljBHBxwka2I74UMaA08+1n6OTVf1YQKQxrzILdSfz9HBw9nL0GcuG7SbGvTFPBk/BK8TUmU4th+avBh+pTw+CkWfKuHx+V8xi7pLb/fsDe8ne936FbtNn2SuYo4DF53rlujeW23ie+oPi4ibJq0hK6qG2ecZF3AxAnav28WifLMhtq5nj4hKjBJX3VGBW/D1gi8gvjd+Jm1micNeYrmwVwoUnKOGLx2IDwNvNn7e0HPunv3Yb6cv//0x41YrDW+HQDP4d2KKnvC6z7TipPDqC+qgNa7R2eFuK7YLxJUln4JhT26JaToLY8xY0gDL/HtoFtfa+EpE//OYMEY/lCrTw/vavaITLgRZ7UzJ/ZHngDu3W1Ck/fdQZS94UV+a6lrssFHt0oIrd6KzRyUBRMPu7WR/Q1cJ/ZNGIOkjhTzxr808NSNhuJFeHIP2coZ4MF84Ybl2fUgTAzr0wFjHs6NdNW/NzycVMjmZi+fTbv8QnsLmnJguL7Z03YLK1k22AeqsPJNX9Fxp8D5xgi8LiZOztm/enjsVYYD6jnggXVCr+d17ZbNe40b9XrlK9Y2A1rBLEUnyFhPsjc8D+ZPrmhMHl3gMtK2IXvs0RXbrrBoL53RheOaTXvg/7TYsCKRRSRGs8YfbCzg6nnV1bFn0uFT321i2+AvBBNXMeYp66VgVEZtCagxwzuyahFxdTw9PLBaPt10+Pif64+95epXwEvAzgtpF+Q0C9tf40/7w8MJEWGHEyL40d+gkvhZwzYTFnRlzSV2yWZ9G+ikgWy0AHOQpeUFNm5GWHQ2wZYSDTdEXVDZ4YqpaS/yCBOOmgx+KTBJvcFihwxzUtjdVKGSEsOpCRq+DhJywBAOGKok45OSM8ED5fv0rLzZzcf3gwPwr9hV8GA6S4JqXS+g8tNXah5dkrcXdZVmeLQLFyU83CNaZFWVgQ2+xjoNIIqZpesa7BW6/AYTQfgpXYcFZJk5rNFnaIvW6xS6gnahuC2zRZcpcZU/yAqchviMzxAe7t1B/lUcr6Fh5IUeHoyxMIcPStpwgB48yYpjs02sc8FDfO+/3T7fX19f3399eHoc+hPYDc9C5ZDG9Cjz+TlAk6/rB74pwfPZaFP7kmnj+nz3DhIz+eN+xpZlnK04YujzRa6mEFFqh4Y4ocgSGwZvirnYhsNY/R0gRF7TLTpcv/ELbpsq5zY3tk/tzGRBU4cZemMsfDq4Jb6fKultfTqLZ1qPm5dc+Bhd+X5r/Y7A+/Xv/0vlP/qPd/hhQScsVJba/b2dx91h0pvnStN210FpFmlrejR53HVbEJk2wibON6KztjZ53BkqqxDad7CWkvTWWVHU+aab1Od1UWQ0CguKttnCLMJVN4yBBsR1QYpsG43ZnZs4LEwTEm6zUt7EyeMVG7yasCiKEEu4ymNMOspzT03VhSLWbVZRjsWpY1EcL8/bUozA++nXn6mMKea5PCCN1M3LkcR5E0sb0eIzl/4hBmVaYPWe6aetyUCTiraI1khMyxrElox1TUrqb2PwdsuZ4FnDehBBYt5oSfaseEG+oSNCrAEQpbIs8XcX3eqq1WrNZEvOxpKf0hS830ys9nyRlK943GoT5WGDNiVXhNIq1Yv/fyl4+8heunlUakfmMIL3RKkrcnHwJulkgnfB8vNB8hvAW84PkeX7Cd7J5G+HCVirX28Oka83px20JjlAJgR/AfnlMLmH2eKB8t9+4/9HsjxM/jCcdt3mVeL3tzsnOVwOMhnxZpBjm4cIWUzwTiYTvAuWCd4FywTvgmWCd8EywbtguTh4jnNUAkc+/teSMTwzKq+FR/APP2pAyKvg0TMI7iqOvchRTqH1JPT/HB7n3F9q/89o7LNNstpuY28jH2D8S4sW3Hw5f/Ph++ObkaMMOzSP2CRIt3mzytchntfhQF+Gh1dQ2bV928br/qPVl9qas7j7SyguSA+kwcv/eHqEZLEzuu06JlH0gnv1c4gG3fLNx6/X11B719c3t1/mSw2/EXi2XTcSm01T0wvy+3WbK8Lv/2MN1qOd2zng4dGggHoP89ll/0Xz2sXbhVn8+P54yOX9sxLBengzxNeHRwkRvxq0vij099M8Y4UHHuMkSlYpHtUjCiFJD3bCe7m3G9G8GM/sFbHnus12gZeFZLcP2kR7gaZd7Pz8LDJQu6dhnOc3g28vGWgeMe1A2x+5hb0PPLwO3t4eyE1bOekuVwSHp8FkWf24xjCiBh56efOJON1qsBOx7IyvLgVNmQy8Cl/0Ph1znHlCqj0qS/RFpWRKD8k8zV6CR51V6E9WpXLXOQYvphePxSkbJ9uMnSIS8LSpaAugyBAeHnT16ZUvcXYID0cGci2M1Lc8LvfhjY6Zrx1Md0kPytMgefZbz0POAB5eIh2tz1wyWsbgpcyJQ1d/Y7Kr29yjWnTwnAWxw+5X/D92XlnFPXi75Ezw6EUt2p7uf7m9vft6zfKyjOvH2U54RBztxkO+3jYMw2rFr+Zb9Eb2i/DYhS7deyUV+pClp06xKCmt/TjDsJX0RISHZ4tg6xrCCx3+46XwcEBP0LKYujFva+trnibh5JhV1jpQMdyqgmaW0ITX7PyrV1WmWVYoOXswWgeigLTriqoKD9pC8OIYc6snaqd5yxre9bfZcj5fLq8+P7ADjH2/Yn144paSZWxSk578hr8KfkQdby29rHnMAcCAXpTxWaNtsvaB8KIFdwFVtE7hqtZXbmuo4uly/qxdivtBGs1zCrwNpj0EiEfmuwP3rEdo8JB9yhMmOYZ2XqfsgJVGFIY6n0Bj1gcTCO8ZyNcqjhaFyXv2RVz3VzC9Q1WbAcO3lsaJbQ8eXg5lLx/bYm6HAFkrK2R7Uw8PvTfgXbRBDSaIKKgq9APM7iAgZZxNVjW9XM7uDuCFDHuRVin+a7osSeppjNB7JfAw7xc1mpf4ZjlmUeJllSKP13jvZM0CG5vEoW8XYQqBeDfPYq7A2Etn1GkjXgvJ4woXLKgjHciDVEaNXsiOmuj0ROk1vzMtfyffZF2+ubkfLLX04DE3QgYO9KoJSm/k72VtRkh84NIE/VzUdP7hQN9GvW+l2MbZfbgYGkhNc8abWex8hVcQ4e0jRi+mzB1i1XoN08Cj/hX0AxHgL1m6DRGXNQHegpumbkCEWx55zKuhbbk8aV4YgLcG/Sy33gnZKfDm/6JBvQFuNn98YZ7H3BlYVp8d7U+r3pRibJ7XoB6VlRfxgZKOFaVwIovvz6o/tc32fmkDJj3WXSh8tqCRl1Efexb6rBJ3Yy1a99RrmAZeONZrGpFvmqKyPZ8XHTJtr+xij8smOBI8vNIrxti1zfzDAbxauYN5ElGQsDle3zrROIRT4dl85GkG7NCU6f0+usLSlHSNgwSpx20T7I4kRzqs0lPSuv+y+N1l6FtN4ZDToh7jEEZInRUJ8zXnXsM08DKCzgV09FJbMsRC5jsa4YkbcuiXioOU4C1whYEnZwFdzA8dk2A7PO3UXQNvD5+1KjxRwdql6D2Xx9CwyQuf2TrCvT1UQztzFvOHlNirdj6eU48yaXfXGz9Y0cvAkW2WljB4IbhkXsP08PTLnY5JJH+Mrs/mE43dDfHooIzdYu/goZJ1T+WMP8Lre404XhQN+8TCnnXLmePwhMuCfJ9Nop27CkYUhyU1I0u0wV1bcSnAXjztnERQT6NreltYtnUc6u6IOYETmsc56+BZTPM00nORUrKyN/Qqq1hOWPA7/wJe33FWxHzkADy9NX2UKPAeeYP++mb4lU6j8FpPeos92O2xnxehJ1GTbOgN32rwusokPUEikclcsLVCVWlNVD8YHnOuox/zVtpaBRVOvUaIFzDblvkAE/HLHjw6AMfdUyumcQBvf7/fe4vK5EbMqx8+XY1tBw00j5fa3Wt39kV4WIAGdCfkbXwPeKTn8wO6URfhKfoU+dSfigbeFhVMBw+6EtlzFWE+bRq78wg+hGcN/F3ZSA360kyTw5GiMkFzk98KvL97+rzcZz9P3N+PTwOP0aOzvsbuewU2RjRP9Z5CHfX1nSm6dCjSzvOgn9aWBF1mhrLULbxWdPBIrTyE9QP9e6rJ4UjpQXkWC+K0IL8/vJtpxz8ZnvAvmmp3zveGJw/maF6AxZaoXht5NgN4aF4a8nBSoIrk9Aq+1T7KW4Jueazor8yym7DorGU9LKgensngWcZA5fkkXdMOjxYVymz+1VAXhq27Dxp8Cjz+Ktkx8Cw5Vwsd6KC5DSm2O4TimvAQHpswdE+DjhU4yrTmHf27ZpqoW5iOfVPyituujfb6Y7FRsFvzhEEjJ2X8GHh8T6jLG/+6+TDoPHXwav2hlb3ggWKslUzBBtlQV6+DV9bAW0n+Qw1qgOCgVJgtUku4gtKOeTgZo5NAqc2mOWtCqtO4PeABYepoR2TM28GPgTdbPt511x95c/9j12ZsB+9gzcPlEL+WtuFj1mGCkSHVHlux18DD1bGuatBDu0Ndupik5cSWQqyRnXTqxV/K3qltumbZ+LIjU+6aYwxeu05Q2bI/yC1zufRD4NHVzKcbwY+3oIcduwpiXEj7x1VeAw96LmLmov5igj6zIe8tBAv/myFzmTOER/1Kt0tPYCKyL0SwMlssTNK9CeHGXzcjB+CkFJ5XnBg9JdGVAEhCnA9wQt8U7vw18LL2KzroGJzytNzApxr5o+DR02OPXx5uuMZTeRrfjBWe1Y+wNnHjbQF2uVlvV96KLuFXTOtDn/qGTei3VlDXURrNs+j+waJK3CTHBX3u9NFBn0/1KnGbkDtzM0bPsOBGhb0Ic6/JQ0RXMpsDkzAhXderSpt/oYMeXg7NLG28Ck1L/PqFxTaJXC+E6UWKtfPD4NHNoPl8/ubLnVihM67VSbsCLxAVecyYZzhr2+ZHPgl6ieOuSLa+CPQzuoyiwsMVFupYiO7asf/b1Win9tnXSeJ2Es9WD89CT1mkyz50eKfDkqBrrtyn2Ag8o2Cl7zyYsd99ZvImulnP0aLTPAYQHQ3Pn0T/qaqeAo844j0O1zxaUXHAas/kX+9Bqy8KWWDB+kIV3t983GWjy9HrkkYr145I02C+8lCyduU5tLWah/XLM4IkIsl68YIuCSqNL/vXLG0Ozwkp+C1LLObbwNRroWX9wG5T7kBh5kdf41nZj1WXx3hTP25tk4mbeMmgchPPo99BNlgFsZS/Is/r7ZahQuPDe+3EWCyFYfY0iZFn5OmN5Urf7SZKIx1pO/0p7N3wEB891tL7uhJleaz9poH+DsKr4WnfTnTdqucmFsTdQvGNAx5Nk546hXshezWKWNuW5vvSA51d0PcvpRbWOge7wbnNwYR8+UBLcr0DHluZto7cz5NeuUdATJp7tSi799I8J6L0juGN1aFltA1kgKefpvJQ17rkrKy2wKKkZ7j/0GP3+GEwpWNfV7IDHp0s0KL1d9Lxu888Qsw9DiBNcoDI5EDv7o1vvcNGyzsKZle3afrCOEuVw+2EHmV1/ZcPIE1ykKjjG15TeLjqVsPwEBkbV+5GrU0kkolOIset8FYjzQaZumTSvPOIomS3bHh7ei+2gmbzK7pSbRhfdsHj33mL9NyQnduEydJizRXSLSd4ZxGZyEeD+wS9fvjySH3lPD7ds2g7JumMXntW3YhWaR3U4doTa33KhsME74Qi95r4zb3C2rq+//355vd2iXrH8hiH4nVbKYrgrRG5h53gnU4UJJ/vR+Zady8cd0e7kp8YsZiZ3FnG0cLe467CJAeIwmTGdvPE1NcSDp2f+9M/zRWv9kB5b64Uq0ueE7wTigrlavl4Z/W1z3o72EvXXmu2CbtK026AguBtYXOCdybpUcHN2Lf3Mrzruw/Dr4Idu5Nerl35Tnqc+f0VswneCWXABRejP797uLm5B7m5/aK5kT4KDzdBinC78pJktaXeIAarnRO8E8oQDOO3FLt62rN/u5zoiItyRH/6fYJ3OtHCYwR3HJqe3Ff9JWQc3i6Z4P0lZIJ3wTLBu2CZ4F2wTPAuV/4P1id6lQ/L0qEAAAAASUVORK5CYII=">
          <a:extLst>
            <a:ext uri="{FF2B5EF4-FFF2-40B4-BE49-F238E27FC236}">
              <a16:creationId xmlns:a16="http://schemas.microsoft.com/office/drawing/2014/main" id="{00000000-0008-0000-0100-000005040000}"/>
            </a:ext>
          </a:extLst>
        </xdr:cNvPr>
        <xdr:cNvSpPr>
          <a:spLocks noChangeAspect="1" noChangeArrowheads="1"/>
        </xdr:cNvSpPr>
      </xdr:nvSpPr>
      <xdr:spPr bwMode="auto">
        <a:xfrm>
          <a:off x="8305800" y="2674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xdr:row>
      <xdr:rowOff>0</xdr:rowOff>
    </xdr:from>
    <xdr:to>
      <xdr:col>11</xdr:col>
      <xdr:colOff>304800</xdr:colOff>
      <xdr:row>6</xdr:row>
      <xdr:rowOff>76200</xdr:rowOff>
    </xdr:to>
    <xdr:sp macro="" textlink="">
      <xdr:nvSpPr>
        <xdr:cNvPr id="1030" name="AutoShape 6" descr="data:image/png;base64,iVBORw0KGgoAAAANSUhEUgAAAbwAAABxCAMAAACZb+YzAAAAz1BMVEX////veCYFUYU2irj///4mhLUxiLcAR3/vdiPy+Pv+9vHuchNEkr3O2+T62MjwgTbd6PCUrsXubwT3vp774tPL3OkXgLMASoF3ka66xtRcnsV9r87q8fZhh6ewzuG40+SawNjY5e6Gss9lpMcAQHyoyd5Ql8Du9fk/kLyOutRyqcrB2OadwtmktMf4x6z507z98en1qH3wfi/xi0j5z7f2t5LzmWPyj1LwhkL98Ov1sIjzonP0pnf84tL52cb2upcAMXNHdp3zmmkAd67xklnWFpDrAAAZi0lEQVR4nO2dC3+bOLbAyQAaE3unXDcwu8BiAwPm4Zukbdpm0m1mt9Pv/5nuOXqABMJx/OiO748z0zaRhST015GOXsfGTwfJz/9jXM+vDpHZm2tjkhPJBO+CZYJ3wTLBu2CZ4F2wTPAuWCZ4FywTvAsWGcmvu2UveDP4fzafz2ez2QTv3CKz++du+c8e8Gbz5fLNpy8f3335/n651ESZ4J1QZHVydkf9x88vwZstZ0/Ploh//fwEGjjBO5/I8Da7o74Ebzb/cNd/5uFxPsE7m5wO3vzqFiJZvYest+rgN8E7oZwM3vz7fR+dRf+7/zCf4J1HJHi/HQNv+c5i6CR+Fguyvs0neGeRUYOlT8Iwmh3w5u/YQ/jA9fPDw8PzPU8GCb6fTfDOIRK8n37r5N//YB//Uwr7+adRePPvNDayu/sAUwT4DwxPzs/4NGneeeQnvfxM4VnG33/Vf6zCm11dsw7SuPmwFFoGU74nCurdchrzziM74Rl7wlveGWx4e1DmdbP5m6+G8VZmN8E7pZwC3uwzG9p67Ci+24fl1QTvTHIKeMuvzDC5Xw4WNAdLnBO8E8oJ4M0+MHbGG/1a9ATvXHICePO3LG6vg3wFPKu/LiPCz/POJxelnPgy8CdZr5NDkrJGa2MoJ4C35FOCD3so3gg8Y7seSH7Aq//XJMrDoCiKrPIc3g3Fvh+fO9fj4c0eWUu532t3dqTbJPZAisvRPLcmNsFXILZfbtm6YGzbB8CzjHy73Tv2CeB9Y5W8V685Bs/2mdimKX4sLgQddBsEqRV1XQA+0y4S7PkOhOeUNtk79vHw5k8s6tPhmmcZEZfctrfsJze6EHhGCOjMmK4tWk3ggwqu4MfD4BnGgph7xz0BvD+Y5n3aZ8gb0byW08qmb84CL4NeCuzW9CdaYK+06a8HwnN+MDxubB4Bj1tYlgrvMoa8lU8YJYubmU6Q4q8Xonlvj9c8Jgxe3P0KAZHXNK7TgnQ2G/zJbRrP5TFoIP4AgY3bbkTR9uBgxMho90gwwaRJXDnLjQsBTi/LZGO0qo9/bxKekNKiEBUMcrkIlD/j8ET5O4lckA2FTeNvNvRjKKoDbxIBPHgfEPF6oji8eePL0mQS7xTwPrJC/+sYa1MHD35vAuKDEVdWDg+ozcIxVgU1RwOP11Zomi5EZTbqStQhVOx6gUEkaNoEvcD0bZ8UacIDotrEOGXdcFhJRgPMMBJtAyoqLX2akDfoy3MI7SL24SUZLf8iF/knVQEWGeSXebScEELMCj5al/afrhGbpWmSEoWnmtQmrYFatNWtSRIWvDgFPLaVZ7w9OTxqCqAJCgZBwiIE9sJJofrhPzAMchHNjnKfxSR+JWoyKcXjfi2q2mchACKj7SEBA58FoJEIUtk0AOKRRkBp4BcaSUpcFHhh2p72ZQBe09DEbJPYWVtSNimCwoesj0h8uzI2JZbchfKBuUobj1/Q3Nd2W74Va11r20+wyZikOMVU4RN7oV8GJ8WOhZdBEWPoEb0Aqi1iQaQIfbL23CQ3oQJYvYWEVD5JMRA6HZgb0/IkUE/YvqMcIjJ6CdRjHm2iBioxwACnJHblbjZeBTWGfS9aH9sIWzZkyRW2AZIhkHW3kFClFhn0ptQPzrFNQsi3SRLoKEz+HCRVx17ixfBGSI8Vs3IAL1lkkZHEeUnMVQxCh354LVKBziWhbfrMGACcCY6z0HucAt57hsO6OiE8bHUV9Eh8tFhDWennGdRfwDp9sMtIwOGZdsnHsRpq07E4Fz7d3SwIErWw4fMlqyik8RtqGdK632K+UCtlJCrfJA4+FIFSrFjpXJO2F4nVChDpXwafJ54ovomNDzryXAx/DbQyWgSEBy2l4tkahWSwNDYR7wUZETqyA7yY2AvasI6HRzcVUPaa6O2reZbhwoS9HelrYtPiArxSHLWJhD4CPCLGMKPk+gj9X9vHudAX4b8wLKpqAn2QK1k4qAGtMVNxsLXoniGShyNclwLt1kaW8QAeFpkdwspYGnLWWwCG/wK8hWm2y6DtVAFLtSB2IkbZrc20FxrCQvTCJ4AnZun3By9Mt3Uhd5sV/sgtMnzFgGkeqJMwSEJOFLrNsA2E6qQxCFhtrXlR2bQPDIjNyXNgaxxKLL4cbGHuVZvQxoRqBMUjZNEd6MlodXYFhkIKa2gAj/cL1PCy7VAkwSUy2ecJLip1w6Y8z4On0rYG4IVKh8GDArGUTgBvdsXf7aOG3uwVh25VzSuILX0CvcmGVZ7bhuW82QuINBCUA+dZni8PTwmrPBjRmFki1u5hDDJpl8jsdhhk3a6GQzQh0PCQdKux28ZDZRc83mtTc5+RVKzSgpSsaCYtMBdZ80JiSxsTKfttDf2tx1M6Abyr5S03sz8PT1G//7j/TrqieRswCKXPKjZcZcSM2rBVB89tq8W1qRrmSq3CAFgwLSJ2EUvztQA6t5Lu3WB1EBxZ5epfCYRCNr46xsG4PLKOrEzShZoB/bCAQphB1SxQgSg8W8pA0jwrkJovbTeYIB3++cueAt5szivjukdvNv98bdzufYZF0TwXbIegE7A5sG/JYKrQxlfgiSRcZkKkYM1IAl0T/XBBV/6LfCPo1Wi1+9Sksww1y4IundRqQgSalGKw2LWhFRUet60SNl+k5r8p4JFCmsRL8KDFmZlcHDpIrm2+GHcieDjqMT2+/raUTM7Z8gmDb/c9PaZYmwm8nS/Ln7vhKZqH8NrtCbpb4f/JsljBHBxwka2I74UMaA08+1n6OTVf1YQKQxrzILdSfz9HBw9nL0GcuG7SbGvTFPBk/BK8TUmU4th+avBh+pTw+CkWfKuHx+V8xi7pLb/fsDe8ne936FbtNn2SuYo4DF53rlujeW23ie+oPi4ibJq0hK6qG2ecZF3AxAnav28WifLMhtq5nj4hKjBJX3VGBW/D1gi8gvjd+Jm1micNeYrmwVwoUnKOGLx2IDwNvNn7e0HPunv3Yb6cv//0x41YrDW+HQDP4d2KKnvC6z7TipPDqC+qgNa7R2eFuK7YLxJUln4JhT26JaToLY8xY0gDL/HtoFtfa+EpE//OYMEY/lCrTw/vavaITLgRZ7UzJ/ZHngDu3W1Ck/fdQZS94UV+a6lrssFHt0oIrd6KzRyUBRMPu7WR/Q1cJ/ZNGIOkjhTzxr808NSNhuJFeHIP2coZ4MF84Ybl2fUgTAzr0wFjHs6NdNW/NzycVMjmZi+fTbv8QnsLmnJguL7Z03YLK1k22AeqsPJNX9Fxp8D5xgi8LiZOztm/enjsVYYD6jnggXVCr+d17ZbNe40b9XrlK9Y2A1rBLEUnyFhPsjc8D+ZPrmhMHl3gMtK2IXvs0RXbrrBoL53RheOaTXvg/7TYsCKRRSRGs8YfbCzg6nnV1bFn0uFT321i2+AvBBNXMeYp66VgVEZtCagxwzuyahFxdTw9PLBaPt10+Pif64+95epXwEvAzgtpF+Q0C9tf40/7w8MJEWGHEyL40d+gkvhZwzYTFnRlzSV2yWZ9G+ikgWy0AHOQpeUFNm5GWHQ2wZYSDTdEXVDZ4YqpaS/yCBOOmgx+KTBJvcFihwxzUtjdVKGSEsOpCRq+DhJywBAOGKok45OSM8ED5fv0rLzZzcf3gwPwr9hV8GA6S4JqXS+g8tNXah5dkrcXdZVmeLQLFyU83CNaZFWVgQ2+xjoNIIqZpesa7BW6/AYTQfgpXYcFZJk5rNFnaIvW6xS6gnahuC2zRZcpcZU/yAqchviMzxAe7t1B/lUcr6Fh5IUeHoyxMIcPStpwgB48yYpjs02sc8FDfO+/3T7fX19f3399eHoc+hPYDc9C5ZDG9Cjz+TlAk6/rB74pwfPZaFP7kmnj+nz3DhIz+eN+xpZlnK04YujzRa6mEFFqh4Y4ocgSGwZvirnYhsNY/R0gRF7TLTpcv/ELbpsq5zY3tk/tzGRBU4cZemMsfDq4Jb6fKultfTqLZ1qPm5dc+Bhd+X5r/Y7A+/Xv/0vlP/qPd/hhQScsVJba/b2dx91h0pvnStN210FpFmlrejR53HVbEJk2wibON6KztjZ53BkqqxDad7CWkvTWWVHU+aab1Od1UWQ0CguKttnCLMJVN4yBBsR1QYpsG43ZnZs4LEwTEm6zUt7EyeMVG7yasCiKEEu4ymNMOspzT03VhSLWbVZRjsWpY1EcL8/bUozA++nXn6mMKea5PCCN1M3LkcR5E0sb0eIzl/4hBmVaYPWe6aetyUCTiraI1khMyxrElox1TUrqb2PwdsuZ4FnDehBBYt5oSfaseEG+oSNCrAEQpbIs8XcX3eqq1WrNZEvOxpKf0hS830ys9nyRlK943GoT5WGDNiVXhNIq1Yv/fyl4+8heunlUakfmMIL3RKkrcnHwJulkgnfB8vNB8hvAW84PkeX7Cd7J5G+HCVirX28Oka83px20JjlAJgR/AfnlMLmH2eKB8t9+4/9HsjxM/jCcdt3mVeL3tzsnOVwOMhnxZpBjm4cIWUzwTiYTvAuWCd4FywTvgmWCd8EywbtguTh4jnNUAkc+/teSMTwzKq+FR/APP2pAyKvg0TMI7iqOvchRTqH1JPT/HB7n3F9q/89o7LNNstpuY28jH2D8S4sW3Hw5f/Ph++ObkaMMOzSP2CRIt3mzytchntfhQF+Gh1dQ2bV928br/qPVl9qas7j7SyguSA+kwcv/eHqEZLEzuu06JlH0gnv1c4gG3fLNx6/X11B719c3t1/mSw2/EXi2XTcSm01T0wvy+3WbK8Lv/2MN1qOd2zng4dGggHoP89ll/0Xz2sXbhVn8+P54yOX9sxLBengzxNeHRwkRvxq0vij099M8Y4UHHuMkSlYpHtUjCiFJD3bCe7m3G9G8GM/sFbHnus12gZeFZLcP2kR7gaZd7Pz8LDJQu6dhnOc3g28vGWgeMe1A2x+5hb0PPLwO3t4eyE1bOekuVwSHp8FkWf24xjCiBh56efOJON1qsBOx7IyvLgVNmQy8Cl/0Ph1znHlCqj0qS/RFpWRKD8k8zV6CR51V6E9WpXLXOQYvphePxSkbJ9uMnSIS8LSpaAugyBAeHnT16ZUvcXYID0cGci2M1Lc8LvfhjY6Zrx1Md0kPytMgefZbz0POAB5eIh2tz1wyWsbgpcyJQ1d/Y7Kr29yjWnTwnAWxw+5X/D92XlnFPXi75Ezw6EUt2p7uf7m9vft6zfKyjOvH2U54RBztxkO+3jYMw2rFr+Zb9Eb2i/DYhS7deyUV+pClp06xKCmt/TjDsJX0RISHZ4tg6xrCCx3+46XwcEBP0LKYujFva+trnibh5JhV1jpQMdyqgmaW0ITX7PyrV1WmWVYoOXswWgeigLTriqoKD9pC8OIYc6snaqd5yxre9bfZcj5fLq8+P7ADjH2/Yn144paSZWxSk578hr8KfkQdby29rHnMAcCAXpTxWaNtsvaB8KIFdwFVtE7hqtZXbmuo4uly/qxdivtBGs1zCrwNpj0EiEfmuwP3rEdo8JB9yhMmOYZ2XqfsgJVGFIY6n0Bj1gcTCO8ZyNcqjhaFyXv2RVz3VzC9Q1WbAcO3lsaJbQ8eXg5lLx/bYm6HAFkrK2R7Uw8PvTfgXbRBDSaIKKgq9APM7iAgZZxNVjW9XM7uDuCFDHuRVin+a7osSeppjNB7JfAw7xc1mpf4ZjlmUeJllSKP13jvZM0CG5vEoW8XYQqBeDfPYq7A2Etn1GkjXgvJ4woXLKgjHciDVEaNXsiOmuj0ROk1vzMtfyffZF2+ubkfLLX04DE3QgYO9KoJSm/k72VtRkh84NIE/VzUdP7hQN9GvW+l2MbZfbgYGkhNc8abWex8hVcQ4e0jRi+mzB1i1XoN08Cj/hX0AxHgL1m6DRGXNQHegpumbkCEWx55zKuhbbk8aV4YgLcG/Sy33gnZKfDm/6JBvQFuNn98YZ7H3BlYVp8d7U+r3pRibJ7XoB6VlRfxgZKOFaVwIovvz6o/tc32fmkDJj3WXSh8tqCRl1Efexb6rBJ3Yy1a99RrmAZeONZrGpFvmqKyPZ8XHTJtr+xij8smOBI8vNIrxti1zfzDAbxauYN5ElGQsDle3zrROIRT4dl85GkG7NCU6f0+usLSlHSNgwSpx20T7I4kRzqs0lPSuv+y+N1l6FtN4ZDToh7jEEZInRUJ8zXnXsM08DKCzgV09FJbMsRC5jsa4YkbcuiXioOU4C1whYEnZwFdzA8dk2A7PO3UXQNvD5+1KjxRwdql6D2Xx9CwyQuf2TrCvT1UQztzFvOHlNirdj6eU48yaXfXGz9Y0cvAkW2WljB4IbhkXsP08PTLnY5JJH+Mrs/mE43dDfHooIzdYu/goZJ1T+WMP8Lre404XhQN+8TCnnXLmePwhMuCfJ9Nop27CkYUhyU1I0u0wV1bcSnAXjztnERQT6NreltYtnUc6u6IOYETmsc56+BZTPM00nORUrKyN/Qqq1hOWPA7/wJe33FWxHzkADy9NX2UKPAeeYP++mb4lU6j8FpPeos92O2xnxehJ1GTbOgN32rwusokPUEikclcsLVCVWlNVD8YHnOuox/zVtpaBRVOvUaIFzDblvkAE/HLHjw6AMfdUyumcQBvf7/fe4vK5EbMqx8+XY1tBw00j5fa3Wt39kV4WIAGdCfkbXwPeKTn8wO6URfhKfoU+dSfigbeFhVMBw+6EtlzFWE+bRq78wg+hGcN/F3ZSA360kyTw5GiMkFzk98KvL97+rzcZz9P3N+PTwOP0aOzvsbuewU2RjRP9Z5CHfX1nSm6dCjSzvOgn9aWBF1mhrLULbxWdPBIrTyE9QP9e6rJ4UjpQXkWC+K0IL8/vJtpxz8ZnvAvmmp3zveGJw/maF6AxZaoXht5NgN4aF4a8nBSoIrk9Aq+1T7KW4Jueazor8yym7DorGU9LKgensngWcZA5fkkXdMOjxYVymz+1VAXhq27Dxp8Cjz+Ktkx8Cw5Vwsd6KC5DSm2O4TimvAQHpswdE+DjhU4yrTmHf27ZpqoW5iOfVPyituujfb6Y7FRsFvzhEEjJ2X8GHh8T6jLG/+6+TDoPHXwav2hlb3ggWKslUzBBtlQV6+DV9bAW0n+Qw1qgOCgVJgtUku4gtKOeTgZo5NAqc2mOWtCqtO4PeABYepoR2TM28GPgTdbPt511x95c/9j12ZsB+9gzcPlEL+WtuFj1mGCkSHVHlux18DD1bGuatBDu0Ndupik5cSWQqyRnXTqxV/K3qltumbZ+LIjU+6aYwxeu05Q2bI/yC1zufRD4NHVzKcbwY+3oIcduwpiXEj7x1VeAw96LmLmov5igj6zIe8tBAv/myFzmTOER/1Kt0tPYCKyL0SwMlssTNK9CeHGXzcjB+CkFJ5XnBg9JdGVAEhCnA9wQt8U7vw18LL2KzroGJzytNzApxr5o+DR02OPXx5uuMZTeRrfjBWe1Y+wNnHjbQF2uVlvV96KLuFXTOtDn/qGTei3VlDXURrNs+j+waJK3CTHBX3u9NFBn0/1KnGbkDtzM0bPsOBGhb0Ic6/JQ0RXMpsDkzAhXderSpt/oYMeXg7NLG28Ck1L/PqFxTaJXC+E6UWKtfPD4NHNoPl8/ubLnVihM67VSbsCLxAVecyYZzhr2+ZHPgl6ieOuSLa+CPQzuoyiwsMVFupYiO7asf/b1Win9tnXSeJ2Es9WD89CT1mkyz50eKfDkqBrrtyn2Ag8o2Cl7zyYsd99ZvImulnP0aLTPAYQHQ3Pn0T/qaqeAo844j0O1zxaUXHAas/kX+9Bqy8KWWDB+kIV3t983GWjy9HrkkYr145I02C+8lCyduU5tLWah/XLM4IkIsl68YIuCSqNL/vXLG0Ozwkp+C1LLObbwNRroWX9wG5T7kBh5kdf41nZj1WXx3hTP25tk4mbeMmgchPPo99BNlgFsZS/Is/r7ZahQuPDe+3EWCyFYfY0iZFn5OmN5Urf7SZKIx1pO/0p7N3wEB891tL7uhJleaz9poH+DsKr4WnfTnTdqucmFsTdQvGNAx5Nk546hXshezWKWNuW5vvSA51d0PcvpRbWOge7wbnNwYR8+UBLcr0DHluZto7cz5NeuUdATJp7tSi799I8J6L0juGN1aFltA1kgKefpvJQ17rkrKy2wKKkZ7j/0GP3+GEwpWNfV7IDHp0s0KL1d9Lxu888Qsw9DiBNcoDI5EDv7o1vvcNGyzsKZle3afrCOEuVw+2EHmV1/ZcPIE1ykKjjG15TeLjqVsPwEBkbV+5GrU0kkolOIset8FYjzQaZumTSvPOIomS3bHh7ei+2gmbzK7pSbRhfdsHj33mL9NyQnduEydJizRXSLSd4ZxGZyEeD+wS9fvjySH3lPD7ds2g7JumMXntW3YhWaR3U4doTa33KhsME74Qi95r4zb3C2rq+//355vd2iXrH8hiH4nVbKYrgrRG5h53gnU4UJJ/vR+Zady8cd0e7kp8YsZiZ3FnG0cLe467CJAeIwmTGdvPE1NcSDp2f+9M/zRWv9kB5b64Uq0ueE7wTigrlavl4Z/W1z3o72EvXXmu2CbtK026AguBtYXOCdybpUcHN2Lf3Mrzruw/Dr4Idu5Nerl35Tnqc+f0VswneCWXABRejP797uLm5B7m5/aK5kT4KDzdBinC78pJktaXeIAarnRO8E8oQDOO3FLt62rN/u5zoiItyRH/6fYJ3OtHCYwR3HJqe3Ff9JWQc3i6Z4P0lZIJ3wTLBu2CZ4F2wTPAuV/4P1id6lQ/L0qEAAAAASUVORK5CYII=">
          <a:extLst>
            <a:ext uri="{FF2B5EF4-FFF2-40B4-BE49-F238E27FC236}">
              <a16:creationId xmlns:a16="http://schemas.microsoft.com/office/drawing/2014/main" id="{00000000-0008-0000-0100-000006040000}"/>
            </a:ext>
          </a:extLst>
        </xdr:cNvPr>
        <xdr:cNvSpPr>
          <a:spLocks noChangeAspect="1" noChangeArrowheads="1"/>
        </xdr:cNvSpPr>
      </xdr:nvSpPr>
      <xdr:spPr bwMode="auto">
        <a:xfrm>
          <a:off x="10134600" y="92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370840</xdr:colOff>
      <xdr:row>36</xdr:row>
      <xdr:rowOff>33801</xdr:rowOff>
    </xdr:from>
    <xdr:ext cx="2047240" cy="526758"/>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630680" y="6729241"/>
          <a:ext cx="2047240" cy="5267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568185</xdr:colOff>
      <xdr:row>36</xdr:row>
      <xdr:rowOff>10160</xdr:rowOff>
    </xdr:from>
    <xdr:ext cx="1822730" cy="526758"/>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622025" y="6705600"/>
          <a:ext cx="1822730" cy="5267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hassoun%20mariam/AppData/Local/Microsoft/Windows/INetCache/Content.Outlook/P2N17M1L/TISA%20funding_Model_vHandoverFF_v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sites/CSGFSeed/Shared%20Documents/Chattanooga%20Prep%20(TN)/LONG%20RANGE%20PROJECTIONS/Chatt%20Prep%20--%20Long%20Range%20Projections%20v20%20(2022-12-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9b956185c79f3e8c/Desktop/Chatt%20Prep/TISA%20Calculator/TISA%20-%20DOWNLOAD%20ONLY%20-%20Charter%20Funding%20Calculator%20(202212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doe.sharepoint.com/sites/tdoe/districts_schools/choice/Shared%20Documents/Charter%20Schools/Applications/2023%20(For%20SY2024-25)/CharterSchoolApplicationBudgetDocumentforSY20245-25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of workbook"/>
      <sheetName val="Instructions"/>
      <sheetName val="Data Inputs--&gt;"/>
      <sheetName val="District ADM"/>
      <sheetName val="Concentrated Poverty"/>
      <sheetName val="Charter"/>
      <sheetName val="Sparsity"/>
      <sheetName val="School ADMs"/>
      <sheetName val="For ACT"/>
      <sheetName val="BEP Calculator"/>
      <sheetName val="District Actual 19-20"/>
      <sheetName val="Vocational CTE"/>
      <sheetName val="Property and sales tax"/>
      <sheetName val="ADM Growth"/>
      <sheetName val="Sheet1"/>
      <sheetName val="Analysis--&gt;"/>
      <sheetName val="Overall"/>
      <sheetName val="State v Local breakdown"/>
      <sheetName val="Student profile tool"/>
      <sheetName val="TISA funding_Model_vHandoverFF_"/>
    </sheetNames>
    <sheetDataSet>
      <sheetData sheetId="0"/>
      <sheetData sheetId="1"/>
      <sheetData sheetId="2"/>
      <sheetData sheetId="3"/>
      <sheetData sheetId="4"/>
      <sheetData sheetId="5"/>
      <sheetData sheetId="6">
        <row r="4">
          <cell r="A4" t="str">
            <v>District</v>
          </cell>
        </row>
      </sheetData>
      <sheetData sheetId="7"/>
      <sheetData sheetId="8">
        <row r="1">
          <cell r="D1" t="str">
            <v>Row Labels</v>
          </cell>
        </row>
      </sheetData>
      <sheetData sheetId="9"/>
      <sheetData sheetId="10"/>
      <sheetData sheetId="11">
        <row r="4">
          <cell r="A4" t="str">
            <v>District</v>
          </cell>
        </row>
      </sheetData>
      <sheetData sheetId="12"/>
      <sheetData sheetId="13"/>
      <sheetData sheetId="14"/>
      <sheetData sheetId="15"/>
      <sheetData sheetId="16"/>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s 09.28"/>
      <sheetName val="SUMMARY_OUTPUT"/>
      <sheetName val="ASSUMPTIONS"/>
      <sheetName val="QUESTIONS_FOR_CP"/>
      <sheetName val="updates 09.02"/>
      <sheetName val="CONSOL"/>
      <sheetName val="CMO"/>
      <sheetName val="CHATT-2"/>
      <sheetName val="KNOX-GIRLS"/>
      <sheetName val="KNOX-BOYS"/>
      <sheetName val="CHATT-1"/>
      <sheetName val="ENROLLMENT"/>
      <sheetName val="INPUTS"/>
      <sheetName val="SIMPLE_BALANCE_SHEET"/>
      <sheetName val="Chuch Facility"/>
      <sheetName val="BEP-TISA-HS"/>
      <sheetName val="BEP-TISA-MS"/>
      <sheetName val="STAFF_CP"/>
      <sheetName val="STAFF_KPB"/>
      <sheetName val="STAFF_KPG"/>
      <sheetName val="STAFF_CP2"/>
      <sheetName val="STAFF_CMO"/>
      <sheetName val="FromCP_Staffing Summary"/>
      <sheetName val="FromCP_FY22__AFR"/>
      <sheetName val="FromCP_FY22 Staffing Sheet"/>
      <sheetName val="FromCP_FY23-Staffing Sheet"/>
      <sheetName val="FromCP_08.05"/>
      <sheetName val="FromCP__CSGF_CMO Staffing Sheet"/>
      <sheetName val="ToDelete_Old-Summary"/>
      <sheetName val="ToDelete-CMO_Headcount"/>
      <sheetName val="ToBeDeletedstaffing"/>
      <sheetName val="Combined Balance Sheet 06-30-22"/>
      <sheetName val="FOCP Balance Sheet"/>
      <sheetName val="CP AFR 2022"/>
      <sheetName val="TIMELINE"/>
      <sheetName val="Actual FY RevExp FY23"/>
      <sheetName val="Budget Overview FY23"/>
      <sheetName val="Aft_Staffing_FY23"/>
      <sheetName val="StaffingCMO-CPII"/>
      <sheetName val="Data &gt;&gt;&gt;"/>
      <sheetName val="From CP FY23 &gt; &gt; &gt;"/>
      <sheetName val="Revenue and Notes FY23"/>
      <sheetName val="Salaries FY23"/>
      <sheetName val="FY22 - Positions"/>
      <sheetName val="Employee Benefits FY23"/>
      <sheetName val="Payroll Taxes FY23"/>
      <sheetName val="Staff Development &amp;TrainingFY23"/>
      <sheetName val="Phone &amp; Internet FY23"/>
      <sheetName val="Contracted Services FY23"/>
      <sheetName val="Travel FY23"/>
      <sheetName val="Supplies &amp; Materials FY23"/>
      <sheetName val="Postal Charges FY23"/>
      <sheetName val="Advertising &amp;CommunicationFY23"/>
      <sheetName val="Maintenance &amp; RepairFY23"/>
      <sheetName val="Rent FY23"/>
      <sheetName val="Utilities FY23"/>
      <sheetName val="Insurance DY23"/>
      <sheetName val="Equipment FY23"/>
      <sheetName val="Dues, Licenses, Fees, Misc.FY23"/>
      <sheetName val="Depreciation FY23"/>
      <sheetName val="Budget 22-23"/>
      <sheetName val="Actual FY RevExp FY22"/>
      <sheetName val="Budget Overview FY22"/>
      <sheetName val="FY21-22 Staff"/>
      <sheetName val="From CP FY22&gt;&gt;&gt;"/>
      <sheetName val="Revenue FY22"/>
      <sheetName val="Salaries FY22"/>
      <sheetName val="Employee Benefits FY22"/>
      <sheetName val="Payroll Taxes FY22"/>
      <sheetName val="Staff Development&amp;Training FY22"/>
      <sheetName val="Phone &amp; Internet FY22"/>
      <sheetName val="Contracted Services FY22"/>
      <sheetName val="Travel FY22"/>
      <sheetName val="Supplies &amp; Materials FY22"/>
      <sheetName val="Postal Charges FY22"/>
      <sheetName val="Advertising&amp;CommunicationsFY22"/>
      <sheetName val="Maintenance &amp; Repair FY22"/>
      <sheetName val="Rent FY22"/>
      <sheetName val="Utilities FY22"/>
      <sheetName val="Insurance FY22"/>
      <sheetName val="Equipment FY22"/>
      <sheetName val="Dues, Licenses, Fees, Misc.FY22"/>
      <sheetName val="Depreciation FY22"/>
      <sheetName val="Budget 21-22"/>
      <sheetName val="Audit FY21"/>
      <sheetName val="Sheet1"/>
      <sheetName val="Sheet3"/>
    </sheetNames>
    <sheetDataSet>
      <sheetData sheetId="0"/>
      <sheetData sheetId="1"/>
      <sheetData sheetId="2"/>
      <sheetData sheetId="3"/>
      <sheetData sheetId="4"/>
      <sheetData sheetId="5">
        <row r="130">
          <cell r="B130" t="str">
            <v>Debt Service - Chatt-1 Expansion</v>
          </cell>
        </row>
        <row r="131">
          <cell r="B131" t="str">
            <v>Debt Service - Knox Boys</v>
          </cell>
        </row>
        <row r="132">
          <cell r="B132" t="str">
            <v>Debt Service - Knox Girls</v>
          </cell>
        </row>
        <row r="133">
          <cell r="B133" t="str">
            <v>Debt Service - Knox Boys</v>
          </cell>
        </row>
        <row r="134">
          <cell r="B134" t="str">
            <v>Debt Service - Chatt-2</v>
          </cell>
        </row>
        <row r="135">
          <cell r="B135" t="str">
            <v>Debt Service - Construction Loan</v>
          </cell>
        </row>
        <row r="148">
          <cell r="B148" t="str">
            <v>Additional expenses for AFR</v>
          </cell>
        </row>
        <row r="165">
          <cell r="C165">
            <v>-1340863.9239950001</v>
          </cell>
          <cell r="D165">
            <v>-1127290.8505950002</v>
          </cell>
          <cell r="E165">
            <v>-1634583.1764349998</v>
          </cell>
          <cell r="F165">
            <v>-1296173.1223962195</v>
          </cell>
          <cell r="G165">
            <v>-399260.86641094368</v>
          </cell>
          <cell r="H165">
            <v>-624360.08480094047</v>
          </cell>
          <cell r="I165">
            <v>-558869.41441937536</v>
          </cell>
          <cell r="J165">
            <v>-314594.14188831486</v>
          </cell>
          <cell r="K165">
            <v>-1201386.4393431041</v>
          </cell>
          <cell r="L165">
            <v>-378874.5239624083</v>
          </cell>
          <cell r="M165">
            <v>-106452.35138597339</v>
          </cell>
          <cell r="N165">
            <v>-8136.0746560283005</v>
          </cell>
        </row>
      </sheetData>
      <sheetData sheetId="6"/>
      <sheetData sheetId="7"/>
      <sheetData sheetId="8"/>
      <sheetData sheetId="9">
        <row r="6">
          <cell r="C6">
            <v>0</v>
          </cell>
          <cell r="D6">
            <v>0</v>
          </cell>
          <cell r="E6">
            <v>0</v>
          </cell>
          <cell r="F6">
            <v>0</v>
          </cell>
          <cell r="G6">
            <v>0</v>
          </cell>
          <cell r="H6">
            <v>-303896.73641807999</v>
          </cell>
          <cell r="I6">
            <v>-278511.40869603399</v>
          </cell>
          <cell r="J6">
            <v>-270300.18935021525</v>
          </cell>
          <cell r="K6">
            <v>-188266.8769338401</v>
          </cell>
          <cell r="L6">
            <v>-97583.638586553745</v>
          </cell>
          <cell r="M6">
            <v>139729.01251638401</v>
          </cell>
          <cell r="N6">
            <v>406522.47586135007</v>
          </cell>
          <cell r="O6">
            <v>600253.43554023467</v>
          </cell>
        </row>
        <row r="109">
          <cell r="I109">
            <v>204589.88265306121</v>
          </cell>
          <cell r="J109">
            <v>300501.61964081635</v>
          </cell>
          <cell r="K109">
            <v>451253.26549395919</v>
          </cell>
          <cell r="L109">
            <v>607914.77653337154</v>
          </cell>
          <cell r="M109">
            <v>770662.24670816271</v>
          </cell>
          <cell r="N109">
            <v>930641.09930068464</v>
          </cell>
          <cell r="O109">
            <v>1105926.8985864448</v>
          </cell>
        </row>
        <row r="154">
          <cell r="I154">
            <v>2474173.7938532569</v>
          </cell>
          <cell r="J154">
            <v>3514354.4751429162</v>
          </cell>
          <cell r="K154">
            <v>5000670.8708414771</v>
          </cell>
          <cell r="L154">
            <v>6570133.4908841746</v>
          </cell>
          <cell r="M154">
            <v>8231000.2681331914</v>
          </cell>
          <cell r="N154">
            <v>9899856.6161772199</v>
          </cell>
          <cell r="O154">
            <v>11678598.176815435</v>
          </cell>
        </row>
      </sheetData>
      <sheetData sheetId="10"/>
      <sheetData sheetId="11">
        <row r="17">
          <cell r="H17">
            <v>302</v>
          </cell>
        </row>
        <row r="18">
          <cell r="H18">
            <v>237</v>
          </cell>
        </row>
        <row r="63">
          <cell r="C63">
            <v>0</v>
          </cell>
          <cell r="D63">
            <v>0</v>
          </cell>
          <cell r="E63">
            <v>0</v>
          </cell>
          <cell r="F63">
            <v>0</v>
          </cell>
          <cell r="G63">
            <v>0</v>
          </cell>
          <cell r="H63">
            <v>0</v>
          </cell>
          <cell r="I63">
            <v>105</v>
          </cell>
          <cell r="J63">
            <v>207</v>
          </cell>
          <cell r="K63">
            <v>306</v>
          </cell>
          <cell r="L63">
            <v>409</v>
          </cell>
          <cell r="M63">
            <v>509</v>
          </cell>
          <cell r="N63">
            <v>606</v>
          </cell>
          <cell r="O63">
            <v>700</v>
          </cell>
        </row>
      </sheetData>
      <sheetData sheetId="12">
        <row r="3">
          <cell r="C3" t="str">
            <v>FY18-19</v>
          </cell>
          <cell r="D3" t="str">
            <v>FY19-20</v>
          </cell>
          <cell r="E3" t="str">
            <v>FY20-21</v>
          </cell>
          <cell r="F3" t="str">
            <v>FY21-22</v>
          </cell>
          <cell r="G3" t="str">
            <v>FY22-23</v>
          </cell>
          <cell r="H3" t="str">
            <v>FY23-24</v>
          </cell>
          <cell r="I3" t="str">
            <v>FY24-25</v>
          </cell>
          <cell r="J3" t="str">
            <v>FY25-26</v>
          </cell>
          <cell r="K3" t="str">
            <v>FY26-27</v>
          </cell>
          <cell r="L3" t="str">
            <v>FY27-28</v>
          </cell>
          <cell r="M3" t="str">
            <v>FY28-29</v>
          </cell>
          <cell r="N3" t="str">
            <v>FY29-30</v>
          </cell>
          <cell r="O3" t="str">
            <v>FY30-31</v>
          </cell>
        </row>
        <row r="8">
          <cell r="C8" t="str">
            <v>FY18-19</v>
          </cell>
          <cell r="D8" t="str">
            <v>FY19-20</v>
          </cell>
          <cell r="E8" t="str">
            <v>FY20-21</v>
          </cell>
          <cell r="F8" t="str">
            <v>FY21-22</v>
          </cell>
          <cell r="G8" t="str">
            <v>FY22-23</v>
          </cell>
          <cell r="H8" t="str">
            <v>FY23-24</v>
          </cell>
          <cell r="I8" t="str">
            <v>FY24-25</v>
          </cell>
          <cell r="J8" t="str">
            <v>FY25-26</v>
          </cell>
          <cell r="K8" t="str">
            <v>FY26-27</v>
          </cell>
          <cell r="L8" t="str">
            <v>FY27-28</v>
          </cell>
          <cell r="M8" t="str">
            <v>FY28-29</v>
          </cell>
          <cell r="N8" t="str">
            <v>FY29-30</v>
          </cell>
          <cell r="O8" t="str">
            <v>FY30-31</v>
          </cell>
        </row>
        <row r="52">
          <cell r="J52">
            <v>0.03</v>
          </cell>
          <cell r="K52">
            <v>0.03</v>
          </cell>
          <cell r="L52">
            <v>0.03</v>
          </cell>
          <cell r="M52">
            <v>0.03</v>
          </cell>
          <cell r="O52">
            <v>0.03</v>
          </cell>
        </row>
        <row r="53">
          <cell r="J53">
            <v>0.03</v>
          </cell>
          <cell r="K53">
            <v>0.03</v>
          </cell>
          <cell r="L53">
            <v>0.03</v>
          </cell>
          <cell r="M53">
            <v>0.03</v>
          </cell>
          <cell r="O53">
            <v>0.03</v>
          </cell>
        </row>
        <row r="54">
          <cell r="I54">
            <v>0.03</v>
          </cell>
          <cell r="J54">
            <v>0.03</v>
          </cell>
          <cell r="K54">
            <v>0.03</v>
          </cell>
          <cell r="L54">
            <v>0.03</v>
          </cell>
          <cell r="M54">
            <v>0.03</v>
          </cell>
          <cell r="O54">
            <v>0.03</v>
          </cell>
        </row>
        <row r="55">
          <cell r="I55">
            <v>0.03</v>
          </cell>
          <cell r="J55">
            <v>0.03</v>
          </cell>
          <cell r="K55">
            <v>0.03</v>
          </cell>
          <cell r="L55">
            <v>0.03</v>
          </cell>
          <cell r="M55">
            <v>0.03</v>
          </cell>
          <cell r="O55">
            <v>0.03</v>
          </cell>
        </row>
        <row r="64">
          <cell r="I64">
            <v>2137.0114942528735</v>
          </cell>
          <cell r="J64">
            <v>2137.0114942528735</v>
          </cell>
          <cell r="K64">
            <v>2137.0114942528735</v>
          </cell>
          <cell r="L64">
            <v>2137.0114942528735</v>
          </cell>
          <cell r="M64">
            <v>2137.0114942528735</v>
          </cell>
          <cell r="N64">
            <v>2137.0114942528735</v>
          </cell>
          <cell r="O64">
            <v>2137.0114942528735</v>
          </cell>
        </row>
        <row r="65">
          <cell r="H65">
            <v>798.85057471264372</v>
          </cell>
          <cell r="I65">
            <v>798.85057471264372</v>
          </cell>
          <cell r="J65">
            <v>798.85057471264372</v>
          </cell>
          <cell r="K65">
            <v>798.85057471264372</v>
          </cell>
          <cell r="L65">
            <v>798.85057471264372</v>
          </cell>
          <cell r="M65">
            <v>798.85057471264372</v>
          </cell>
          <cell r="N65">
            <v>798.85057471264372</v>
          </cell>
          <cell r="O65">
            <v>798.85057471264372</v>
          </cell>
        </row>
        <row r="66">
          <cell r="H66">
            <v>888.50574712643675</v>
          </cell>
          <cell r="I66">
            <v>888.50574712643675</v>
          </cell>
          <cell r="J66">
            <v>888.50574712643675</v>
          </cell>
          <cell r="K66">
            <v>888.50574712643675</v>
          </cell>
          <cell r="L66">
            <v>888.50574712643675</v>
          </cell>
          <cell r="M66">
            <v>888.50574712643675</v>
          </cell>
          <cell r="N66">
            <v>888.50574712643675</v>
          </cell>
          <cell r="O66">
            <v>888.50574712643675</v>
          </cell>
        </row>
      </sheetData>
      <sheetData sheetId="13"/>
      <sheetData sheetId="14">
        <row r="33">
          <cell r="S33">
            <v>12000</v>
          </cell>
        </row>
      </sheetData>
      <sheetData sheetId="15"/>
      <sheetData sheetId="16"/>
      <sheetData sheetId="17">
        <row r="37">
          <cell r="C37">
            <v>19</v>
          </cell>
          <cell r="D37">
            <v>25</v>
          </cell>
          <cell r="E37">
            <v>34</v>
          </cell>
          <cell r="F37">
            <v>43.5</v>
          </cell>
          <cell r="G37">
            <v>49</v>
          </cell>
        </row>
        <row r="41">
          <cell r="I41">
            <v>16</v>
          </cell>
        </row>
        <row r="42">
          <cell r="I42">
            <v>80</v>
          </cell>
        </row>
        <row r="44">
          <cell r="I44">
            <v>120</v>
          </cell>
        </row>
        <row r="54">
          <cell r="I54">
            <v>56856.06080322581</v>
          </cell>
        </row>
        <row r="55">
          <cell r="I55">
            <v>56801.646900000007</v>
          </cell>
        </row>
        <row r="57">
          <cell r="H57">
            <v>61310.406666666662</v>
          </cell>
        </row>
        <row r="71">
          <cell r="H71">
            <v>109899.97</v>
          </cell>
        </row>
        <row r="81">
          <cell r="B81" t="str">
            <v>Tutors/After-School</v>
          </cell>
          <cell r="F81">
            <v>92960</v>
          </cell>
        </row>
        <row r="82">
          <cell r="B82" t="str">
            <v xml:space="preserve">Total Stipends </v>
          </cell>
          <cell r="F82">
            <v>69500</v>
          </cell>
        </row>
        <row r="83">
          <cell r="B83" t="str">
            <v xml:space="preserve">Bonuses/Supply Stipend </v>
          </cell>
          <cell r="F83">
            <v>38650</v>
          </cell>
        </row>
      </sheetData>
      <sheetData sheetId="18">
        <row r="27">
          <cell r="H27">
            <v>0</v>
          </cell>
          <cell r="I27">
            <v>7</v>
          </cell>
          <cell r="J27">
            <v>13</v>
          </cell>
          <cell r="K27">
            <v>19</v>
          </cell>
          <cell r="L27">
            <v>25.5</v>
          </cell>
          <cell r="M27">
            <v>32</v>
          </cell>
          <cell r="N27">
            <v>38</v>
          </cell>
          <cell r="O27">
            <v>44</v>
          </cell>
        </row>
        <row r="28">
          <cell r="H28">
            <v>0</v>
          </cell>
          <cell r="I28">
            <v>1</v>
          </cell>
          <cell r="J28">
            <v>2.5</v>
          </cell>
          <cell r="K28">
            <v>4</v>
          </cell>
          <cell r="L28">
            <v>5</v>
          </cell>
          <cell r="M28">
            <v>6.5</v>
          </cell>
          <cell r="N28">
            <v>7.5</v>
          </cell>
          <cell r="O28">
            <v>9</v>
          </cell>
        </row>
        <row r="29">
          <cell r="H29">
            <v>1</v>
          </cell>
          <cell r="I29">
            <v>1</v>
          </cell>
          <cell r="J29">
            <v>1</v>
          </cell>
          <cell r="K29">
            <v>1</v>
          </cell>
          <cell r="L29">
            <v>1</v>
          </cell>
          <cell r="M29">
            <v>1</v>
          </cell>
          <cell r="N29">
            <v>1</v>
          </cell>
          <cell r="O29">
            <v>1</v>
          </cell>
        </row>
        <row r="30">
          <cell r="H30">
            <v>2</v>
          </cell>
          <cell r="I30">
            <v>3.5</v>
          </cell>
          <cell r="J30">
            <v>1.5</v>
          </cell>
          <cell r="K30">
            <v>2.5</v>
          </cell>
          <cell r="L30">
            <v>3.5</v>
          </cell>
          <cell r="M30">
            <v>4</v>
          </cell>
          <cell r="N30">
            <v>5</v>
          </cell>
          <cell r="O30">
            <v>6</v>
          </cell>
        </row>
        <row r="69">
          <cell r="H69">
            <v>0</v>
          </cell>
          <cell r="I69">
            <v>397992.42562258069</v>
          </cell>
          <cell r="J69">
            <v>761302.6541551936</v>
          </cell>
          <cell r="K69">
            <v>1146053.303216703</v>
          </cell>
          <cell r="L69">
            <v>1584267.8952098265</v>
          </cell>
          <cell r="M69">
            <v>2047743.9147496426</v>
          </cell>
          <cell r="N69">
            <v>2504646.7757281568</v>
          </cell>
          <cell r="O69">
            <v>2987120.8388421074</v>
          </cell>
        </row>
        <row r="70">
          <cell r="H70">
            <v>0</v>
          </cell>
          <cell r="I70">
            <v>56801.646900000007</v>
          </cell>
          <cell r="J70">
            <v>146264.24076750001</v>
          </cell>
          <cell r="K70">
            <v>241043.46878484002</v>
          </cell>
          <cell r="L70">
            <v>310343.46606048156</v>
          </cell>
          <cell r="M70">
            <v>415549.90105498483</v>
          </cell>
          <cell r="N70">
            <v>493865.07471534738</v>
          </cell>
          <cell r="O70">
            <v>610417.23234816943</v>
          </cell>
        </row>
        <row r="71">
          <cell r="H71">
            <v>109899.97</v>
          </cell>
          <cell r="I71">
            <v>113196.9691</v>
          </cell>
          <cell r="J71">
            <v>116592.878173</v>
          </cell>
          <cell r="K71">
            <v>120090.66451819001</v>
          </cell>
          <cell r="L71">
            <v>123693.38445373571</v>
          </cell>
          <cell r="M71">
            <v>127404.18598734778</v>
          </cell>
          <cell r="N71">
            <v>131226.31156696822</v>
          </cell>
          <cell r="O71">
            <v>135163.10091397728</v>
          </cell>
        </row>
        <row r="72">
          <cell r="H72">
            <v>122620.81333333332</v>
          </cell>
          <cell r="I72">
            <v>221024.01603333332</v>
          </cell>
          <cell r="J72">
            <v>97566.315648999996</v>
          </cell>
          <cell r="K72">
            <v>167488.84186411666</v>
          </cell>
          <cell r="L72">
            <v>241518.90996805622</v>
          </cell>
          <cell r="M72">
            <v>284302.25973382621</v>
          </cell>
          <cell r="N72">
            <v>366039.15940730128</v>
          </cell>
          <cell r="O72">
            <v>452424.40102742438</v>
          </cell>
        </row>
        <row r="81">
          <cell r="H81">
            <v>0</v>
          </cell>
          <cell r="I81">
            <v>26712.643678160919</v>
          </cell>
          <cell r="J81">
            <v>38466.206896551725</v>
          </cell>
          <cell r="K81">
            <v>56630.80459770115</v>
          </cell>
          <cell r="L81">
            <v>74795.402298850575</v>
          </cell>
          <cell r="M81">
            <v>92960</v>
          </cell>
          <cell r="N81">
            <v>110056.09195402298</v>
          </cell>
          <cell r="O81">
            <v>128220.68965517241</v>
          </cell>
        </row>
        <row r="82">
          <cell r="H82">
            <v>2396.5517241379312</v>
          </cell>
          <cell r="I82">
            <v>9985.6321839080465</v>
          </cell>
          <cell r="J82">
            <v>14379.310344827587</v>
          </cell>
          <cell r="K82">
            <v>21169.54022988506</v>
          </cell>
          <cell r="L82">
            <v>27959.77011494253</v>
          </cell>
          <cell r="M82">
            <v>34750</v>
          </cell>
          <cell r="N82">
            <v>41140.80459770115</v>
          </cell>
          <cell r="O82">
            <v>47931.034482758623</v>
          </cell>
        </row>
        <row r="83">
          <cell r="H83">
            <v>2665.5172413793102</v>
          </cell>
          <cell r="I83">
            <v>11106.32183908046</v>
          </cell>
          <cell r="J83">
            <v>15993.103448275862</v>
          </cell>
          <cell r="K83">
            <v>23545.402298850575</v>
          </cell>
          <cell r="L83">
            <v>31097.701149425287</v>
          </cell>
          <cell r="M83">
            <v>38650</v>
          </cell>
          <cell r="N83">
            <v>45758.04597701149</v>
          </cell>
          <cell r="O83">
            <v>53310.344827586203</v>
          </cell>
        </row>
      </sheetData>
      <sheetData sheetId="19"/>
      <sheetData sheetId="20"/>
      <sheetData sheetId="21"/>
      <sheetData sheetId="22"/>
      <sheetData sheetId="23"/>
      <sheetData sheetId="24"/>
      <sheetData sheetId="25">
        <row r="4">
          <cell r="J4" t="str">
            <v xml:space="preserve">Lead Teacher </v>
          </cell>
        </row>
        <row r="5">
          <cell r="J5" t="str">
            <v>SPED, Specials, Supports</v>
          </cell>
        </row>
        <row r="6">
          <cell r="J6" t="str">
            <v xml:space="preserve">Principal </v>
          </cell>
        </row>
        <row r="7">
          <cell r="J7" t="str">
            <v>Operations, Admin, APs</v>
          </cell>
        </row>
        <row r="8">
          <cell r="J8" t="str">
            <v>Central - Exec</v>
          </cell>
        </row>
        <row r="9">
          <cell r="J9" t="str">
            <v>Cental - Academic</v>
          </cell>
        </row>
        <row r="10">
          <cell r="J10" t="str">
            <v>Central - Ops</v>
          </cell>
        </row>
        <row r="11">
          <cell r="J11" t="str">
            <v xml:space="preserve">Central - Admin </v>
          </cell>
        </row>
        <row r="12">
          <cell r="J12" t="str">
            <v>Central - Finance</v>
          </cell>
        </row>
        <row r="13">
          <cell r="J13" t="str">
            <v xml:space="preserve">Central - Other Directors </v>
          </cell>
        </row>
      </sheetData>
      <sheetData sheetId="26"/>
      <sheetData sheetId="27"/>
      <sheetData sheetId="28"/>
      <sheetData sheetId="29"/>
      <sheetData sheetId="30">
        <row r="1">
          <cell r="A1" t="str">
            <v>Location</v>
          </cell>
          <cell r="C1" t="str">
            <v xml:space="preserve">Position Type </v>
          </cell>
          <cell r="D1" t="str">
            <v xml:space="preserve">FY24 FTE </v>
          </cell>
          <cell r="I1" t="str">
            <v xml:space="preserve">FY24 Salary </v>
          </cell>
        </row>
        <row r="2">
          <cell r="A2" t="str">
            <v>Chattanooga Prep Schools</v>
          </cell>
          <cell r="C2" t="str">
            <v>Central - Exec</v>
          </cell>
          <cell r="D2">
            <v>1</v>
          </cell>
          <cell r="I2">
            <v>130000</v>
          </cell>
        </row>
        <row r="3">
          <cell r="A3" t="str">
            <v>Chattanooga Prep Schools</v>
          </cell>
          <cell r="C3" t="str">
            <v>Cental - Academic</v>
          </cell>
          <cell r="D3">
            <v>1</v>
          </cell>
          <cell r="I3">
            <v>100000</v>
          </cell>
        </row>
        <row r="4">
          <cell r="A4" t="str">
            <v>Chattanooga Prep Schools</v>
          </cell>
          <cell r="C4" t="str">
            <v>Cental - Academic</v>
          </cell>
          <cell r="D4">
            <v>0</v>
          </cell>
        </row>
        <row r="5">
          <cell r="A5" t="str">
            <v>Chattanooga Prep Schools</v>
          </cell>
          <cell r="C5" t="str">
            <v>Cental - Academic</v>
          </cell>
          <cell r="D5">
            <v>0</v>
          </cell>
        </row>
        <row r="6">
          <cell r="A6" t="str">
            <v>Chattanooga Prep Schools</v>
          </cell>
          <cell r="C6" t="str">
            <v>Cental - Academic</v>
          </cell>
          <cell r="D6">
            <v>0</v>
          </cell>
        </row>
        <row r="7">
          <cell r="A7" t="str">
            <v>Chattanooga Prep Schools</v>
          </cell>
          <cell r="C7" t="str">
            <v>Cental - Academic</v>
          </cell>
          <cell r="D7">
            <v>0</v>
          </cell>
        </row>
        <row r="8">
          <cell r="A8" t="str">
            <v>Chattanooga Prep Schools</v>
          </cell>
          <cell r="C8" t="str">
            <v>Central - Ops</v>
          </cell>
          <cell r="D8">
            <v>0</v>
          </cell>
        </row>
        <row r="9">
          <cell r="A9" t="str">
            <v>Chattanooga Prep Schools</v>
          </cell>
          <cell r="C9" t="str">
            <v>Central - Ops</v>
          </cell>
          <cell r="D9">
            <v>1</v>
          </cell>
          <cell r="I9">
            <v>100000</v>
          </cell>
        </row>
        <row r="10">
          <cell r="A10" t="str">
            <v>Chattanooga Prep Schools</v>
          </cell>
          <cell r="C10" t="str">
            <v xml:space="preserve">Central - Admin </v>
          </cell>
          <cell r="D10">
            <v>1</v>
          </cell>
          <cell r="I10">
            <v>40000</v>
          </cell>
        </row>
        <row r="11">
          <cell r="A11" t="str">
            <v>Chattanooga Prep Schools</v>
          </cell>
          <cell r="C11" t="str">
            <v xml:space="preserve">Central - Other Directors </v>
          </cell>
          <cell r="D11">
            <v>1</v>
          </cell>
          <cell r="I11">
            <v>70000</v>
          </cell>
        </row>
        <row r="12">
          <cell r="A12" t="str">
            <v>Chattanooga Prep Schools</v>
          </cell>
          <cell r="C12" t="str">
            <v xml:space="preserve">Central - Other Directors </v>
          </cell>
          <cell r="D12">
            <v>1</v>
          </cell>
          <cell r="I12">
            <v>70000</v>
          </cell>
        </row>
        <row r="13">
          <cell r="A13" t="str">
            <v>Chattanooga Prep Schools</v>
          </cell>
          <cell r="C13" t="str">
            <v>Central - Finance</v>
          </cell>
          <cell r="D13">
            <v>0</v>
          </cell>
        </row>
        <row r="14">
          <cell r="A14" t="str">
            <v>Chattanooga Prep Schools</v>
          </cell>
          <cell r="C14" t="str">
            <v>Central - Finance</v>
          </cell>
          <cell r="D14">
            <v>1</v>
          </cell>
          <cell r="I14">
            <v>64944.889199999998</v>
          </cell>
        </row>
        <row r="15">
          <cell r="A15" t="str">
            <v>KNOXVILLE PREP</v>
          </cell>
          <cell r="C15" t="str">
            <v xml:space="preserve">Principal </v>
          </cell>
          <cell r="D15">
            <v>1</v>
          </cell>
          <cell r="I15">
            <v>80000</v>
          </cell>
        </row>
        <row r="16">
          <cell r="A16" t="str">
            <v>KNOXVILLE PREP</v>
          </cell>
          <cell r="C16" t="str">
            <v>Operations, Admin, APs</v>
          </cell>
          <cell r="D16">
            <v>1</v>
          </cell>
          <cell r="I16">
            <v>40000</v>
          </cell>
        </row>
        <row r="17">
          <cell r="A17" t="str">
            <v>KNOXVILLE PREP</v>
          </cell>
          <cell r="C17" t="str">
            <v>Operations, Admin, APs</v>
          </cell>
          <cell r="D17">
            <v>1</v>
          </cell>
          <cell r="I17">
            <v>40000</v>
          </cell>
        </row>
        <row r="18">
          <cell r="A18" t="str">
            <v>KNOXVILLE PREP</v>
          </cell>
          <cell r="C18" t="str">
            <v>Operations, Admin, APs</v>
          </cell>
          <cell r="D18">
            <v>1</v>
          </cell>
          <cell r="I18">
            <v>40000</v>
          </cell>
        </row>
        <row r="19">
          <cell r="A19" t="str">
            <v>KNOXVILLE PREP</v>
          </cell>
          <cell r="C19" t="str">
            <v xml:space="preserve">Lead Teacher </v>
          </cell>
          <cell r="D19">
            <v>0</v>
          </cell>
        </row>
        <row r="20">
          <cell r="A20" t="str">
            <v>KNOXVILLE PREP</v>
          </cell>
          <cell r="C20" t="str">
            <v xml:space="preserve">Lead Teacher </v>
          </cell>
          <cell r="D20">
            <v>0</v>
          </cell>
        </row>
        <row r="21">
          <cell r="A21" t="str">
            <v>KNOXVILLE PREP</v>
          </cell>
          <cell r="C21" t="str">
            <v xml:space="preserve">Lead Teacher </v>
          </cell>
          <cell r="D21">
            <v>0</v>
          </cell>
        </row>
        <row r="22">
          <cell r="A22" t="str">
            <v>KNOXVILLE PREP</v>
          </cell>
          <cell r="C22" t="str">
            <v xml:space="preserve">Lead Teacher </v>
          </cell>
          <cell r="D22">
            <v>0</v>
          </cell>
        </row>
        <row r="23">
          <cell r="A23" t="str">
            <v>KNOXVILLE PREP</v>
          </cell>
          <cell r="C23" t="str">
            <v>SPED, Specials, Supports</v>
          </cell>
          <cell r="D23">
            <v>0</v>
          </cell>
        </row>
        <row r="24">
          <cell r="A24" t="str">
            <v>KNOXVILLE PREP</v>
          </cell>
          <cell r="C24" t="str">
            <v xml:space="preserve">Lead Teacher </v>
          </cell>
          <cell r="D24">
            <v>0</v>
          </cell>
        </row>
        <row r="25">
          <cell r="A25" t="str">
            <v>KNOXVILLE PREP</v>
          </cell>
          <cell r="C25" t="str">
            <v xml:space="preserve">Lead Teacher </v>
          </cell>
          <cell r="D25">
            <v>0</v>
          </cell>
        </row>
        <row r="26">
          <cell r="A26" t="str">
            <v>KNOXVILLE PREP</v>
          </cell>
          <cell r="C26" t="str">
            <v>Operations, Admin, APs</v>
          </cell>
          <cell r="D26">
            <v>0</v>
          </cell>
        </row>
        <row r="27">
          <cell r="A27" t="str">
            <v>KNOXVILLE PREP</v>
          </cell>
          <cell r="C27" t="str">
            <v xml:space="preserve">Lead Teacher </v>
          </cell>
          <cell r="D27">
            <v>0</v>
          </cell>
        </row>
        <row r="28">
          <cell r="A28" t="str">
            <v>KNOXVILLE PREP</v>
          </cell>
          <cell r="C28" t="str">
            <v xml:space="preserve">Lead Teacher </v>
          </cell>
        </row>
        <row r="29">
          <cell r="A29" t="str">
            <v>KNOXVILLE PREP</v>
          </cell>
          <cell r="C29" t="str">
            <v xml:space="preserve">Lead Teacher </v>
          </cell>
        </row>
        <row r="30">
          <cell r="A30" t="str">
            <v>KNOXVILLE PREP</v>
          </cell>
          <cell r="C30" t="str">
            <v>SPED, Specials, Supports</v>
          </cell>
        </row>
        <row r="31">
          <cell r="A31" t="str">
            <v>KNOXVILLE PREP</v>
          </cell>
          <cell r="C31" t="str">
            <v xml:space="preserve">Lead Teacher </v>
          </cell>
        </row>
        <row r="32">
          <cell r="A32" t="str">
            <v>KNOXVILLE PREP</v>
          </cell>
          <cell r="C32" t="str">
            <v xml:space="preserve">Lead Teacher </v>
          </cell>
        </row>
        <row r="33">
          <cell r="A33" t="str">
            <v>KNOXVILLE PREP</v>
          </cell>
          <cell r="C33" t="str">
            <v xml:space="preserve">Lead Teacher </v>
          </cell>
        </row>
        <row r="34">
          <cell r="A34" t="str">
            <v>KNOXVILLE PREP</v>
          </cell>
          <cell r="C34" t="str">
            <v xml:space="preserve">Lead Teacher </v>
          </cell>
        </row>
        <row r="35">
          <cell r="A35" t="str">
            <v>KNOXVILLE PREP</v>
          </cell>
          <cell r="C35" t="str">
            <v>Operations, Admin, APs</v>
          </cell>
        </row>
        <row r="36">
          <cell r="A36" t="str">
            <v>KNOXVILLE PREP</v>
          </cell>
          <cell r="C36" t="str">
            <v xml:space="preserve">Lead Teacher </v>
          </cell>
        </row>
        <row r="37">
          <cell r="A37" t="str">
            <v>KNOXVILLE PREP</v>
          </cell>
          <cell r="C37" t="str">
            <v>SPED, Specials, Supports</v>
          </cell>
        </row>
        <row r="38">
          <cell r="A38" t="str">
            <v>KNOXVILLE PREP</v>
          </cell>
          <cell r="C38" t="str">
            <v xml:space="preserve">Lead Teacher </v>
          </cell>
        </row>
        <row r="39">
          <cell r="A39" t="str">
            <v>KNOXVILLE PREP</v>
          </cell>
          <cell r="C39" t="str">
            <v xml:space="preserve">Lead Teacher </v>
          </cell>
        </row>
        <row r="40">
          <cell r="A40" t="str">
            <v>KNOXVILLE PREP</v>
          </cell>
          <cell r="C40" t="str">
            <v xml:space="preserve">Lead Teacher </v>
          </cell>
        </row>
        <row r="41">
          <cell r="A41" t="str">
            <v>KNOXVILLE PREP</v>
          </cell>
          <cell r="C41" t="str">
            <v xml:space="preserve">Lead Teacher </v>
          </cell>
        </row>
        <row r="42">
          <cell r="A42" t="str">
            <v>KNOXVILLE PREP</v>
          </cell>
          <cell r="C42" t="str">
            <v xml:space="preserve">Lead Teacher </v>
          </cell>
        </row>
        <row r="43">
          <cell r="A43" t="str">
            <v>KNOXVILLE PREP</v>
          </cell>
          <cell r="C43" t="str">
            <v xml:space="preserve">Lead Teacher </v>
          </cell>
        </row>
        <row r="44">
          <cell r="A44" t="str">
            <v>KNOXVILLE PREP</v>
          </cell>
          <cell r="C44" t="str">
            <v>SPED, Specials, Supports</v>
          </cell>
        </row>
        <row r="45">
          <cell r="A45" t="str">
            <v>KNOXVILLE PREP</v>
          </cell>
          <cell r="C45" t="str">
            <v xml:space="preserve">Lead Teacher </v>
          </cell>
        </row>
        <row r="46">
          <cell r="A46" t="str">
            <v>KNOXVILLE PREP</v>
          </cell>
          <cell r="C46" t="str">
            <v xml:space="preserve">Lead Teacher </v>
          </cell>
        </row>
        <row r="47">
          <cell r="A47" t="str">
            <v>KNOXVILLE PREP</v>
          </cell>
          <cell r="C47" t="str">
            <v xml:space="preserve">Lead Teacher </v>
          </cell>
        </row>
        <row r="48">
          <cell r="A48" t="str">
            <v>KNOXVILLE PREP</v>
          </cell>
          <cell r="C48" t="str">
            <v xml:space="preserve">Lead Teacher </v>
          </cell>
        </row>
        <row r="49">
          <cell r="A49" t="str">
            <v>KNOXVILLE PREP</v>
          </cell>
          <cell r="C49" t="str">
            <v xml:space="preserve">Lead Teacher </v>
          </cell>
        </row>
        <row r="50">
          <cell r="A50" t="str">
            <v>KNOXVILLE PREP</v>
          </cell>
          <cell r="C50" t="str">
            <v>Operations, Admin, APs</v>
          </cell>
        </row>
        <row r="51">
          <cell r="A51" t="str">
            <v>KNOXVILLE PREP</v>
          </cell>
          <cell r="C51" t="str">
            <v>SPED, Specials, Supports</v>
          </cell>
        </row>
        <row r="52">
          <cell r="A52" t="str">
            <v>KNOXVILLE PREP GIRLS</v>
          </cell>
          <cell r="C52" t="str">
            <v xml:space="preserve">Principal </v>
          </cell>
        </row>
        <row r="53">
          <cell r="A53" t="str">
            <v>KNOXVILLE PREP GIRLS</v>
          </cell>
          <cell r="C53" t="str">
            <v>Operations, Admin, APs</v>
          </cell>
        </row>
        <row r="54">
          <cell r="A54" t="str">
            <v>KNOXVILLE PREP GIRLS</v>
          </cell>
          <cell r="C54" t="str">
            <v>Operations, Admin, APs</v>
          </cell>
        </row>
        <row r="55">
          <cell r="A55" t="str">
            <v>KNOXVILLE PREP GIRLS</v>
          </cell>
          <cell r="C55" t="str">
            <v>Operations, Admin, APs</v>
          </cell>
        </row>
        <row r="56">
          <cell r="A56" t="str">
            <v>KNOXVILLE PREP GIRLS</v>
          </cell>
          <cell r="C56" t="str">
            <v xml:space="preserve">Lead Teacher </v>
          </cell>
        </row>
        <row r="57">
          <cell r="A57" t="str">
            <v>KNOXVILLE PREP GIRLS</v>
          </cell>
          <cell r="C57" t="str">
            <v xml:space="preserve">Lead Teacher </v>
          </cell>
        </row>
        <row r="58">
          <cell r="A58" t="str">
            <v>KNOXVILLE PREP GIRLS</v>
          </cell>
          <cell r="C58" t="str">
            <v xml:space="preserve">Lead Teacher </v>
          </cell>
        </row>
        <row r="59">
          <cell r="A59" t="str">
            <v>KNOXVILLE PREP GIRLS</v>
          </cell>
          <cell r="C59" t="str">
            <v xml:space="preserve">Lead Teacher </v>
          </cell>
        </row>
        <row r="60">
          <cell r="A60" t="str">
            <v>KNOXVILLE PREP GIRLS</v>
          </cell>
          <cell r="C60" t="str">
            <v>SPED, Specials, Supports</v>
          </cell>
        </row>
        <row r="61">
          <cell r="A61" t="str">
            <v>KNOXVILLE PREP GIRLS</v>
          </cell>
          <cell r="C61" t="str">
            <v xml:space="preserve">Lead Teacher </v>
          </cell>
        </row>
        <row r="62">
          <cell r="A62" t="str">
            <v>KNOXVILLE PREP GIRLS</v>
          </cell>
          <cell r="C62" t="str">
            <v xml:space="preserve">Lead Teacher </v>
          </cell>
        </row>
        <row r="63">
          <cell r="A63" t="str">
            <v>KNOXVILLE PREP GIRLS</v>
          </cell>
          <cell r="C63" t="str">
            <v>Operations, Admin, APs</v>
          </cell>
        </row>
        <row r="64">
          <cell r="A64" t="str">
            <v>KNOXVILLE PREP GIRLS</v>
          </cell>
          <cell r="C64" t="str">
            <v xml:space="preserve">Lead Teacher </v>
          </cell>
        </row>
        <row r="65">
          <cell r="A65" t="str">
            <v>CHATT PREP II</v>
          </cell>
          <cell r="C65" t="str">
            <v xml:space="preserve">Principal </v>
          </cell>
        </row>
        <row r="66">
          <cell r="A66" t="str">
            <v>CHATT PREP II</v>
          </cell>
          <cell r="C66" t="str">
            <v>Operations, Admin, APs</v>
          </cell>
        </row>
        <row r="67">
          <cell r="A67" t="str">
            <v>CHATT PREP II</v>
          </cell>
          <cell r="C67" t="str">
            <v>Operations, Admin, APs</v>
          </cell>
        </row>
        <row r="68">
          <cell r="A68" t="str">
            <v>CHATT PREP II</v>
          </cell>
          <cell r="C68" t="str">
            <v>Operations, Admin, APs</v>
          </cell>
        </row>
        <row r="69">
          <cell r="A69" t="str">
            <v>CHATT PREP II</v>
          </cell>
          <cell r="C69" t="str">
            <v xml:space="preserve">Lead Teacher </v>
          </cell>
        </row>
        <row r="70">
          <cell r="A70" t="str">
            <v>CHATT PREP II</v>
          </cell>
          <cell r="C70" t="str">
            <v xml:space="preserve">Lead Teacher </v>
          </cell>
        </row>
        <row r="71">
          <cell r="A71" t="str">
            <v>CHATT PREP II</v>
          </cell>
          <cell r="C71" t="str">
            <v xml:space="preserve">Lead Teacher </v>
          </cell>
        </row>
        <row r="72">
          <cell r="A72" t="str">
            <v>CHATT PREP II</v>
          </cell>
          <cell r="C72" t="str">
            <v xml:space="preserve">Lead Teacher </v>
          </cell>
        </row>
        <row r="73">
          <cell r="A73" t="str">
            <v>CHATT PREP II</v>
          </cell>
          <cell r="C73" t="str">
            <v>SPED, Specials, Supports</v>
          </cell>
        </row>
        <row r="74">
          <cell r="A74" t="str">
            <v>CHATT PREP II</v>
          </cell>
          <cell r="C74" t="str">
            <v xml:space="preserve">Lead Teacher </v>
          </cell>
        </row>
        <row r="75">
          <cell r="A75" t="str">
            <v>CHATT PREP II</v>
          </cell>
          <cell r="C75" t="str">
            <v xml:space="preserve">Lead Teacher </v>
          </cell>
        </row>
        <row r="76">
          <cell r="A76" t="str">
            <v>CHATT PREP II</v>
          </cell>
          <cell r="C76" t="str">
            <v>Operations, Admin, APs</v>
          </cell>
        </row>
        <row r="77">
          <cell r="A77" t="str">
            <v>CHATT PREP II</v>
          </cell>
          <cell r="C77" t="str">
            <v xml:space="preserve">Lead Teacher </v>
          </cell>
        </row>
      </sheetData>
      <sheetData sheetId="31"/>
      <sheetData sheetId="32"/>
      <sheetData sheetId="33"/>
      <sheetData sheetId="34"/>
      <sheetData sheetId="35">
        <row r="30">
          <cell r="C30">
            <v>16888.66</v>
          </cell>
          <cell r="D30">
            <v>47131.47</v>
          </cell>
          <cell r="E30">
            <v>27066.71</v>
          </cell>
        </row>
        <row r="33">
          <cell r="E33">
            <v>1708.79</v>
          </cell>
        </row>
        <row r="34">
          <cell r="E34">
            <v>3511.03</v>
          </cell>
        </row>
        <row r="35">
          <cell r="E35">
            <v>19798.7</v>
          </cell>
        </row>
        <row r="36">
          <cell r="E36">
            <v>8579.17</v>
          </cell>
        </row>
        <row r="37">
          <cell r="E37">
            <v>144000</v>
          </cell>
        </row>
        <row r="38">
          <cell r="C38">
            <v>17634.04</v>
          </cell>
          <cell r="D38">
            <v>60272.93</v>
          </cell>
          <cell r="E38">
            <v>71998.42</v>
          </cell>
        </row>
        <row r="39">
          <cell r="E39">
            <v>12549.19</v>
          </cell>
        </row>
        <row r="40">
          <cell r="E40">
            <v>228351.34</v>
          </cell>
        </row>
        <row r="41">
          <cell r="E41">
            <v>36161.54</v>
          </cell>
        </row>
        <row r="42">
          <cell r="E42">
            <v>11161.5</v>
          </cell>
        </row>
        <row r="44">
          <cell r="E44">
            <v>87171.199999999997</v>
          </cell>
        </row>
      </sheetData>
      <sheetData sheetId="36">
        <row r="12">
          <cell r="F12">
            <v>74404.09</v>
          </cell>
          <cell r="G12">
            <v>85398</v>
          </cell>
        </row>
        <row r="13">
          <cell r="F13">
            <v>74226.740000000005</v>
          </cell>
          <cell r="G13">
            <v>90000</v>
          </cell>
        </row>
        <row r="14">
          <cell r="F14">
            <v>7682</v>
          </cell>
          <cell r="G14">
            <v>9716</v>
          </cell>
        </row>
        <row r="15">
          <cell r="F15">
            <v>1023842</v>
          </cell>
        </row>
        <row r="16">
          <cell r="G16">
            <v>50000</v>
          </cell>
        </row>
        <row r="25">
          <cell r="F25">
            <v>614347.07999999996</v>
          </cell>
        </row>
        <row r="27">
          <cell r="F27">
            <v>33350</v>
          </cell>
          <cell r="G27">
            <v>211750</v>
          </cell>
        </row>
        <row r="28">
          <cell r="F28">
            <v>828647.21</v>
          </cell>
        </row>
        <row r="29">
          <cell r="F29">
            <v>5500</v>
          </cell>
          <cell r="G29">
            <v>14500</v>
          </cell>
        </row>
        <row r="30">
          <cell r="F30">
            <v>10870</v>
          </cell>
          <cell r="G30">
            <v>14720</v>
          </cell>
        </row>
        <row r="31">
          <cell r="F31">
            <v>5474.68</v>
          </cell>
          <cell r="G31">
            <v>8294.7999999999993</v>
          </cell>
        </row>
        <row r="32">
          <cell r="F32">
            <v>3894.16</v>
          </cell>
          <cell r="G32">
            <v>8034.08</v>
          </cell>
        </row>
        <row r="33">
          <cell r="F33">
            <v>396459.84</v>
          </cell>
          <cell r="G33">
            <v>396459.83999999997</v>
          </cell>
        </row>
        <row r="34">
          <cell r="E34">
            <v>75821.25</v>
          </cell>
          <cell r="F34">
            <v>122431.17</v>
          </cell>
          <cell r="G34">
            <v>122431.17</v>
          </cell>
        </row>
        <row r="35">
          <cell r="F35">
            <v>36370</v>
          </cell>
          <cell r="G35">
            <v>43150</v>
          </cell>
        </row>
        <row r="36">
          <cell r="F36">
            <v>200000</v>
          </cell>
          <cell r="G36">
            <v>252000</v>
          </cell>
        </row>
        <row r="37">
          <cell r="F37">
            <v>63605</v>
          </cell>
          <cell r="G37">
            <v>67277</v>
          </cell>
        </row>
        <row r="38">
          <cell r="F38">
            <v>36100</v>
          </cell>
          <cell r="G38">
            <v>43550</v>
          </cell>
        </row>
        <row r="40">
          <cell r="F40">
            <v>77190.460000000006</v>
          </cell>
          <cell r="G40">
            <v>142054.46</v>
          </cell>
        </row>
      </sheetData>
      <sheetData sheetId="37">
        <row r="4">
          <cell r="I4" t="str">
            <v xml:space="preserve">Lead Teacher </v>
          </cell>
        </row>
        <row r="5">
          <cell r="I5" t="str">
            <v>SPED, Specials, Supports</v>
          </cell>
        </row>
        <row r="6">
          <cell r="I6" t="str">
            <v xml:space="preserve">Principal </v>
          </cell>
        </row>
        <row r="7">
          <cell r="I7" t="str">
            <v>Operations, Admin, APs</v>
          </cell>
        </row>
        <row r="8">
          <cell r="I8" t="str">
            <v>Central - Exec</v>
          </cell>
        </row>
        <row r="9">
          <cell r="I9" t="str">
            <v>Cental - Academic</v>
          </cell>
        </row>
        <row r="10">
          <cell r="I10" t="str">
            <v>Central - Ops</v>
          </cell>
        </row>
        <row r="11">
          <cell r="I11" t="str">
            <v xml:space="preserve">Central - Admin </v>
          </cell>
        </row>
        <row r="12">
          <cell r="I12" t="str">
            <v>Central - Finance</v>
          </cell>
        </row>
        <row r="13">
          <cell r="I13" t="str">
            <v xml:space="preserve">Central - Other Directors </v>
          </cell>
        </row>
      </sheetData>
      <sheetData sheetId="38"/>
      <sheetData sheetId="39"/>
      <sheetData sheetId="40"/>
      <sheetData sheetId="41"/>
      <sheetData sheetId="42"/>
      <sheetData sheetId="43"/>
      <sheetData sheetId="44">
        <row r="11">
          <cell r="B11">
            <v>770850</v>
          </cell>
        </row>
      </sheetData>
      <sheetData sheetId="45">
        <row r="4">
          <cell r="C4">
            <v>6.2E-2</v>
          </cell>
        </row>
        <row r="5">
          <cell r="C5">
            <v>1.4500000000000001E-2</v>
          </cell>
        </row>
      </sheetData>
      <sheetData sheetId="46"/>
      <sheetData sheetId="47"/>
      <sheetData sheetId="48">
        <row r="66">
          <cell r="F66">
            <v>2037.7518453865339</v>
          </cell>
        </row>
        <row r="67">
          <cell r="B67">
            <v>311636.83999999997</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row r="13">
          <cell r="C13">
            <v>17284</v>
          </cell>
          <cell r="D13">
            <v>28487</v>
          </cell>
          <cell r="E13">
            <v>43146.83</v>
          </cell>
        </row>
        <row r="28">
          <cell r="C28">
            <v>183437.71</v>
          </cell>
          <cell r="D28">
            <v>254211.13</v>
          </cell>
          <cell r="E28">
            <v>382064.81</v>
          </cell>
        </row>
        <row r="32">
          <cell r="C32">
            <v>475055.6</v>
          </cell>
          <cell r="D32">
            <v>591691.04</v>
          </cell>
          <cell r="E32">
            <v>424503.6</v>
          </cell>
        </row>
        <row r="33">
          <cell r="C33">
            <v>22116.28</v>
          </cell>
          <cell r="D33">
            <v>13803.94</v>
          </cell>
          <cell r="E33">
            <v>1708.79</v>
          </cell>
        </row>
        <row r="34">
          <cell r="C34">
            <v>3451.17</v>
          </cell>
          <cell r="D34">
            <v>3414.94</v>
          </cell>
          <cell r="E34">
            <v>3511.03</v>
          </cell>
        </row>
        <row r="35">
          <cell r="C35">
            <v>4378.5200000000004</v>
          </cell>
          <cell r="D35">
            <v>6419.44</v>
          </cell>
          <cell r="E35">
            <v>19798.7</v>
          </cell>
        </row>
        <row r="36">
          <cell r="C36">
            <v>1194.08</v>
          </cell>
          <cell r="D36">
            <v>8376.06</v>
          </cell>
          <cell r="E36">
            <v>8579.17</v>
          </cell>
        </row>
        <row r="37">
          <cell r="C37">
            <v>500</v>
          </cell>
          <cell r="D37">
            <v>1501</v>
          </cell>
          <cell r="E37">
            <v>144000</v>
          </cell>
        </row>
        <row r="38">
          <cell r="C38">
            <v>17634.04</v>
          </cell>
          <cell r="D38">
            <v>60272.93</v>
          </cell>
          <cell r="E38">
            <v>71998.42</v>
          </cell>
        </row>
        <row r="39">
          <cell r="C39">
            <v>9760.23</v>
          </cell>
          <cell r="D39">
            <v>28240.89</v>
          </cell>
          <cell r="E39">
            <v>12549.19</v>
          </cell>
        </row>
        <row r="40">
          <cell r="C40">
            <v>92736.48</v>
          </cell>
          <cell r="D40">
            <v>158060.25</v>
          </cell>
          <cell r="E40">
            <v>228351.34</v>
          </cell>
        </row>
        <row r="41">
          <cell r="C41">
            <v>20703.34</v>
          </cell>
          <cell r="D41">
            <v>26373.97</v>
          </cell>
          <cell r="E41">
            <v>36161.54</v>
          </cell>
        </row>
        <row r="42">
          <cell r="C42">
            <v>13027.49</v>
          </cell>
          <cell r="D42">
            <v>7909.24</v>
          </cell>
          <cell r="E42">
            <v>11161.5</v>
          </cell>
        </row>
        <row r="44">
          <cell r="C44">
            <v>41123.129999999997</v>
          </cell>
          <cell r="D44">
            <v>65102.82</v>
          </cell>
          <cell r="E44">
            <v>87171.199999999997</v>
          </cell>
        </row>
      </sheetData>
      <sheetData sheetId="62">
        <row r="16">
          <cell r="F16">
            <v>0</v>
          </cell>
        </row>
      </sheetData>
      <sheetData sheetId="63"/>
      <sheetData sheetId="64"/>
      <sheetData sheetId="65">
        <row r="13">
          <cell r="M13">
            <v>40925.589999999997</v>
          </cell>
        </row>
        <row r="14">
          <cell r="M14">
            <v>110470.05</v>
          </cell>
        </row>
        <row r="15">
          <cell r="M15">
            <v>258046</v>
          </cell>
        </row>
        <row r="16">
          <cell r="M16">
            <v>614400.36</v>
          </cell>
        </row>
      </sheetData>
      <sheetData sheetId="66"/>
      <sheetData sheetId="67"/>
      <sheetData sheetId="68"/>
      <sheetData sheetId="69"/>
      <sheetData sheetId="70"/>
      <sheetData sheetId="71">
        <row r="60">
          <cell r="G60">
            <v>551.41958041958048</v>
          </cell>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 School"/>
      <sheetName val="Middle School"/>
      <sheetName val="Charter Model"/>
      <sheetName val="Data"/>
    </sheetNames>
    <sheetDataSet>
      <sheetData sheetId="0"/>
      <sheetData sheetId="1"/>
      <sheetData sheetId="2"/>
      <sheetData sheetId="3">
        <row r="2">
          <cell r="B2" t="str">
            <v>District</v>
          </cell>
          <cell r="C2" t="str">
            <v>County</v>
          </cell>
          <cell r="D2" t="str">
            <v>Land Area(sqm)</v>
          </cell>
          <cell r="E2" t="str">
            <v>ADM (#)</v>
          </cell>
          <cell r="F2" t="str">
            <v>Economically Disadvantaged (#)</v>
          </cell>
          <cell r="G2" t="str">
            <v>ED %</v>
          </cell>
          <cell r="H2" t="str">
            <v>Concentrated Poverty (#)</v>
          </cell>
          <cell r="I2" t="str">
            <v>Assumption for EL categories (ULN 1,4,5)</v>
          </cell>
          <cell r="J2" t="str">
            <v>ULN 1: SPED Consultation and Transition English Learners  (#)</v>
          </cell>
          <cell r="K2" t="str">
            <v>ULN 2: Standard SPED Services (45 m per day) and Dyslexia (#)</v>
          </cell>
          <cell r="L2" t="str">
            <v>ULN 3: Standards SPED Services (1-2 hours per day) (#)</v>
          </cell>
          <cell r="M2" t="str">
            <v>ULN 4: EL Tier 2 (#)</v>
          </cell>
          <cell r="N2" t="str">
            <v>ULN 5: EL Tier 1 (#)</v>
          </cell>
          <cell r="O2" t="str">
            <v>ULN 6: Standard SPED Services (3 hours per day) (#)</v>
          </cell>
          <cell r="P2" t="str">
            <v>ULN 7: Standard SPED (4 hours per day) with some Escalated Serves  (#)</v>
          </cell>
          <cell r="Q2" t="str">
            <v>ULN 8: Individualized Services (50% of day) (#)</v>
          </cell>
          <cell r="R2" t="str">
            <v>ULN 9: Self Contained Classroom, CDC, or Escaltated (#)</v>
          </cell>
          <cell r="S2" t="str">
            <v>ULN 10: Residential or Homebound (#)</v>
          </cell>
          <cell r="T2" t="str">
            <v>Density (students/ sqm.)</v>
          </cell>
          <cell r="U2" t="str">
            <v>Rural students (#)</v>
          </cell>
          <cell r="V2" t="str">
            <v>Small district (fewer than 1000 students) (#)</v>
          </cell>
          <cell r="W2" t="str">
            <v>Charter (#)</v>
          </cell>
          <cell r="X2" t="str">
            <v>Tutoring (#)</v>
          </cell>
          <cell r="Y2" t="str">
            <v>CTE (#)</v>
          </cell>
          <cell r="Z2" t="str">
            <v>ACT (#)</v>
          </cell>
          <cell r="AA2" t="str">
            <v>ACT Retake</v>
          </cell>
          <cell r="AB2" t="str">
            <v>K-3 (#)</v>
          </cell>
          <cell r="AC2" t="str">
            <v>Overall Funding</v>
          </cell>
          <cell r="AD2" t="str">
            <v>Local match</v>
          </cell>
          <cell r="AE2" t="str">
            <v>MOE Projected 23-24</v>
          </cell>
        </row>
        <row r="3">
          <cell r="B3" t="str">
            <v>Shelby County</v>
          </cell>
          <cell r="C3" t="str">
            <v>Shelby Co</v>
          </cell>
          <cell r="D3">
            <v>544.29999999999995</v>
          </cell>
          <cell r="E3">
            <v>108462.43</v>
          </cell>
          <cell r="F3">
            <v>68642.06</v>
          </cell>
          <cell r="G3">
            <v>0.63286485467825127</v>
          </cell>
          <cell r="H3">
            <v>97986.12</v>
          </cell>
          <cell r="I3">
            <v>13685.8</v>
          </cell>
          <cell r="J3">
            <v>5073.47</v>
          </cell>
          <cell r="K3">
            <v>8058.32</v>
          </cell>
          <cell r="L3">
            <v>4355.4399999999996</v>
          </cell>
          <cell r="M3">
            <v>192.66</v>
          </cell>
          <cell r="N3">
            <v>8419.67</v>
          </cell>
          <cell r="O3">
            <v>2675.12</v>
          </cell>
          <cell r="P3">
            <v>1295.75</v>
          </cell>
          <cell r="Q3">
            <v>66.08</v>
          </cell>
          <cell r="R3">
            <v>2668.73</v>
          </cell>
          <cell r="S3">
            <v>63.72</v>
          </cell>
          <cell r="T3">
            <v>199.26957560169024</v>
          </cell>
          <cell r="U3">
            <v>0</v>
          </cell>
          <cell r="V3">
            <v>0</v>
          </cell>
          <cell r="W3">
            <v>25435.05</v>
          </cell>
          <cell r="X3">
            <v>3269.99</v>
          </cell>
          <cell r="Y3">
            <v>2700.26</v>
          </cell>
          <cell r="Z3">
            <v>6733.07</v>
          </cell>
          <cell r="AB3">
            <v>34400.589999999997</v>
          </cell>
          <cell r="AC3">
            <v>1052035411.0088769</v>
          </cell>
          <cell r="AD3">
            <v>261208351.62364104</v>
          </cell>
          <cell r="AE3">
            <v>486904731.98000002</v>
          </cell>
        </row>
        <row r="4">
          <cell r="B4" t="str">
            <v>Davidson County</v>
          </cell>
          <cell r="C4" t="str">
            <v>Davidson Co</v>
          </cell>
          <cell r="D4">
            <v>525.29999999999995</v>
          </cell>
          <cell r="E4">
            <v>79594.41</v>
          </cell>
          <cell r="F4">
            <v>33205.800000000003</v>
          </cell>
          <cell r="G4">
            <v>0.41718758892741337</v>
          </cell>
          <cell r="H4">
            <v>66241.3</v>
          </cell>
          <cell r="I4">
            <v>20006.41</v>
          </cell>
          <cell r="J4">
            <v>3884.42</v>
          </cell>
          <cell r="K4">
            <v>9091.2099999999991</v>
          </cell>
          <cell r="L4">
            <v>2620.52</v>
          </cell>
          <cell r="M4">
            <v>384.53</v>
          </cell>
          <cell r="N4">
            <v>15737.46</v>
          </cell>
          <cell r="O4">
            <v>1656.5</v>
          </cell>
          <cell r="P4">
            <v>803.9</v>
          </cell>
          <cell r="Q4">
            <v>182.94</v>
          </cell>
          <cell r="R4">
            <v>1154.26</v>
          </cell>
          <cell r="S4">
            <v>14.6</v>
          </cell>
          <cell r="T4">
            <v>151.52181610508282</v>
          </cell>
          <cell r="U4">
            <v>0</v>
          </cell>
          <cell r="V4">
            <v>0</v>
          </cell>
          <cell r="W4">
            <v>15028.87</v>
          </cell>
          <cell r="X4">
            <v>1795.2</v>
          </cell>
          <cell r="Y4">
            <v>1442.06</v>
          </cell>
          <cell r="Z4">
            <v>5410.92</v>
          </cell>
          <cell r="AB4">
            <v>25482.87</v>
          </cell>
          <cell r="AC4">
            <v>778044031.1409924</v>
          </cell>
          <cell r="AD4">
            <v>443882315.12139028</v>
          </cell>
          <cell r="AE4">
            <v>842129900</v>
          </cell>
        </row>
        <row r="5">
          <cell r="B5" t="str">
            <v>Hamilton County</v>
          </cell>
          <cell r="C5" t="str">
            <v>Hamilton Co</v>
          </cell>
          <cell r="D5">
            <v>575.79999999999995</v>
          </cell>
          <cell r="E5">
            <v>44518.77</v>
          </cell>
          <cell r="F5">
            <v>15869.79</v>
          </cell>
          <cell r="G5">
            <v>0.35647413439320091</v>
          </cell>
          <cell r="H5">
            <v>26061.040000000001</v>
          </cell>
          <cell r="I5">
            <v>6338.5499999999993</v>
          </cell>
          <cell r="J5">
            <v>3087.97</v>
          </cell>
          <cell r="K5">
            <v>5623.53</v>
          </cell>
          <cell r="L5">
            <v>1542.92</v>
          </cell>
          <cell r="M5">
            <v>153.86000000000001</v>
          </cell>
          <cell r="N5">
            <v>3096.72</v>
          </cell>
          <cell r="O5">
            <v>262.99</v>
          </cell>
          <cell r="P5">
            <v>273.44</v>
          </cell>
          <cell r="Q5">
            <v>41.15</v>
          </cell>
          <cell r="R5">
            <v>616.73</v>
          </cell>
          <cell r="S5">
            <v>20.57</v>
          </cell>
          <cell r="T5">
            <v>77.316377214310521</v>
          </cell>
          <cell r="U5">
            <v>0</v>
          </cell>
          <cell r="V5">
            <v>0</v>
          </cell>
          <cell r="W5">
            <v>1654.82</v>
          </cell>
          <cell r="X5">
            <v>864.27</v>
          </cell>
          <cell r="Y5">
            <v>1417.95</v>
          </cell>
          <cell r="Z5">
            <v>2991.08</v>
          </cell>
          <cell r="AB5">
            <v>13924.13</v>
          </cell>
          <cell r="AC5">
            <v>397017649.24051279</v>
          </cell>
          <cell r="AD5">
            <v>150392223.77399305</v>
          </cell>
          <cell r="AE5">
            <v>245742000</v>
          </cell>
        </row>
        <row r="6">
          <cell r="B6" t="str">
            <v>Knox County</v>
          </cell>
          <cell r="C6" t="str">
            <v>Knox Co</v>
          </cell>
          <cell r="D6">
            <v>525.9</v>
          </cell>
          <cell r="E6">
            <v>58915.91</v>
          </cell>
          <cell r="F6">
            <v>15671.88</v>
          </cell>
          <cell r="G6">
            <v>0.26600420837087974</v>
          </cell>
          <cell r="H6">
            <v>23284.01</v>
          </cell>
          <cell r="I6">
            <v>7629.2199999999993</v>
          </cell>
          <cell r="J6">
            <v>4384.01</v>
          </cell>
          <cell r="K6">
            <v>4713.71</v>
          </cell>
          <cell r="L6">
            <v>1960.64</v>
          </cell>
          <cell r="M6">
            <v>217.78</v>
          </cell>
          <cell r="N6">
            <v>3027.43</v>
          </cell>
          <cell r="O6">
            <v>1212.8699999999999</v>
          </cell>
          <cell r="P6">
            <v>1090.73</v>
          </cell>
          <cell r="Q6">
            <v>25.79</v>
          </cell>
          <cell r="R6">
            <v>921.94</v>
          </cell>
          <cell r="S6">
            <v>19.34</v>
          </cell>
          <cell r="T6">
            <v>112.02873169804147</v>
          </cell>
          <cell r="U6">
            <v>0</v>
          </cell>
          <cell r="V6">
            <v>0</v>
          </cell>
          <cell r="W6">
            <v>452.88</v>
          </cell>
          <cell r="X6">
            <v>944.91</v>
          </cell>
          <cell r="Y6">
            <v>2538.88</v>
          </cell>
          <cell r="Z6">
            <v>4528.1400000000003</v>
          </cell>
          <cell r="AB6">
            <v>17352.490000000002</v>
          </cell>
          <cell r="AC6">
            <v>515041657.12852657</v>
          </cell>
          <cell r="AD6">
            <v>195216964.97716469</v>
          </cell>
          <cell r="AE6">
            <v>296522400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Instructions"/>
      <sheetName val="1) Proposed School Information"/>
      <sheetName val="2) Student Assumptions"/>
      <sheetName val="3) Pre-Opening Budget"/>
      <sheetName val="4) Pre-Opening Cash Flow"/>
      <sheetName val="5) Year 1-5 Staff Assumptions"/>
      <sheetName val="6) Year 1 Budget"/>
      <sheetName val="7) Year 1 Cash Flow"/>
      <sheetName val="8) Year 2 through 5 Budget"/>
      <sheetName val="9) Summary"/>
    </sheetNames>
    <sheetDataSet>
      <sheetData sheetId="0" refreshError="1"/>
      <sheetData sheetId="1" refreshError="1"/>
      <sheetData sheetId="2" refreshError="1"/>
      <sheetData sheetId="3" refreshError="1"/>
      <sheetData sheetId="4" refreshError="1">
        <row r="71">
          <cell r="B71" t="str">
            <v>Teachers</v>
          </cell>
        </row>
        <row r="72">
          <cell r="B72" t="str">
            <v>Special Education Teachers</v>
          </cell>
        </row>
        <row r="73">
          <cell r="B73" t="str">
            <v>Eduacational Assistants/Aides</v>
          </cell>
        </row>
        <row r="74">
          <cell r="B74" t="str">
            <v>Elective Teachers</v>
          </cell>
        </row>
        <row r="75">
          <cell r="B75" t="str">
            <v>Other (Specify in Assumptions)</v>
          </cell>
        </row>
        <row r="76">
          <cell r="B76" t="str">
            <v>Total Instructional Compensation</v>
          </cell>
        </row>
        <row r="78">
          <cell r="B78" t="str">
            <v>Non-Instructional Staff</v>
          </cell>
        </row>
        <row r="79">
          <cell r="B79" t="str">
            <v>Clerical Staff</v>
          </cell>
        </row>
        <row r="80">
          <cell r="B80" t="str">
            <v>Custodial Staff</v>
          </cell>
        </row>
        <row r="81">
          <cell r="B81" t="str">
            <v>Operations</v>
          </cell>
        </row>
        <row r="82">
          <cell r="B82" t="str">
            <v>Social Workers/Counseling</v>
          </cell>
        </row>
        <row r="83">
          <cell r="B83" t="str">
            <v>Other (Specify in Assumptions)</v>
          </cell>
        </row>
      </sheetData>
      <sheetData sheetId="5" refreshError="1"/>
      <sheetData sheetId="6" refreshError="1">
        <row r="50">
          <cell r="B50" t="str">
            <v>Administrative Staff</v>
          </cell>
        </row>
        <row r="51">
          <cell r="B51" t="str">
            <v>Principal/School Leader</v>
          </cell>
        </row>
        <row r="52">
          <cell r="B52" t="str">
            <v>Assistant Principal</v>
          </cell>
        </row>
        <row r="53">
          <cell r="B53" t="str">
            <v>Special Education Coordinator</v>
          </cell>
        </row>
        <row r="54">
          <cell r="B54" t="str">
            <v>Deans, Directors</v>
          </cell>
        </row>
        <row r="55">
          <cell r="B55" t="str">
            <v>Other (Specify in Assumptions)</v>
          </cell>
        </row>
        <row r="56">
          <cell r="B56" t="str">
            <v>Total Administrative Compensation</v>
          </cell>
        </row>
        <row r="58">
          <cell r="B58" t="str">
            <v>Instructional Staff</v>
          </cell>
        </row>
        <row r="59">
          <cell r="B59" t="str">
            <v>Teachers</v>
          </cell>
        </row>
        <row r="60">
          <cell r="B60" t="str">
            <v>Special Education Teachers</v>
          </cell>
        </row>
        <row r="61">
          <cell r="B61" t="str">
            <v>Eduacational Assistants/Aides</v>
          </cell>
        </row>
        <row r="62">
          <cell r="B62" t="str">
            <v>Elective Teachers</v>
          </cell>
        </row>
        <row r="63">
          <cell r="B63" t="str">
            <v>Other (Specify in Assumptions)</v>
          </cell>
        </row>
        <row r="64">
          <cell r="B64" t="str">
            <v>Total Instructional Compensation</v>
          </cell>
        </row>
        <row r="66">
          <cell r="B66" t="str">
            <v>Non-Instructional Staff</v>
          </cell>
        </row>
        <row r="67">
          <cell r="B67" t="str">
            <v>Clerical Staff</v>
          </cell>
        </row>
        <row r="68">
          <cell r="B68" t="str">
            <v>Custodial Staff</v>
          </cell>
        </row>
        <row r="69">
          <cell r="B69" t="str">
            <v>Operations</v>
          </cell>
        </row>
        <row r="70">
          <cell r="B70" t="str">
            <v>Social Workers/Counseling</v>
          </cell>
        </row>
        <row r="71">
          <cell r="B71" t="str">
            <v>Other (Specify in Assumptions)</v>
          </cell>
        </row>
        <row r="72">
          <cell r="B72" t="str">
            <v>Total Non-Instructional  Compensation</v>
          </cell>
        </row>
        <row r="74">
          <cell r="B74" t="str">
            <v>Other Compensation</v>
          </cell>
        </row>
        <row r="75">
          <cell r="B75" t="str">
            <v>Other Compensation</v>
          </cell>
        </row>
        <row r="76">
          <cell r="B76" t="str">
            <v>Other Compensation</v>
          </cell>
        </row>
        <row r="77">
          <cell r="B77" t="str">
            <v>Other Compensation</v>
          </cell>
        </row>
        <row r="79">
          <cell r="B79" t="str">
            <v>Total Compensation</v>
          </cell>
        </row>
        <row r="86">
          <cell r="B86" t="str">
            <v xml:space="preserve">Social Security </v>
          </cell>
        </row>
        <row r="87">
          <cell r="B87" t="str">
            <v>Medicare</v>
          </cell>
        </row>
        <row r="88">
          <cell r="B88" t="str">
            <v>State Unemployment</v>
          </cell>
        </row>
        <row r="89">
          <cell r="B89" t="str">
            <v>Disability/Life Insurance</v>
          </cell>
        </row>
        <row r="90">
          <cell r="B90" t="str">
            <v>Workers Compensation Insurance</v>
          </cell>
        </row>
        <row r="91">
          <cell r="B91" t="str">
            <v>Other Fringe Benefits</v>
          </cell>
        </row>
        <row r="96">
          <cell r="B96" t="str">
            <v>Medical Insurance</v>
          </cell>
        </row>
        <row r="97">
          <cell r="B97" t="str">
            <v>Dental Insurance</v>
          </cell>
        </row>
        <row r="98">
          <cell r="B98" t="str">
            <v>Vision Insurance</v>
          </cell>
        </row>
        <row r="100">
          <cell r="B100" t="str">
            <v>TCRS Certified Legacy</v>
          </cell>
        </row>
        <row r="101">
          <cell r="B101" t="str">
            <v>TCRS Certified Hybrid</v>
          </cell>
        </row>
        <row r="102">
          <cell r="B102" t="str">
            <v>TCRS Classified Legacy</v>
          </cell>
        </row>
        <row r="103">
          <cell r="B103" t="str">
            <v>TCRS Classified Hybrid</v>
          </cell>
        </row>
        <row r="104">
          <cell r="B104" t="str">
            <v>Other Classified Retirement</v>
          </cell>
        </row>
        <row r="105">
          <cell r="B105" t="str">
            <v>Other Retirement</v>
          </cell>
        </row>
      </sheetData>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Brytain Tate" id="{1B3576C0-14FC-4F9F-920B-EF79144A0B7B}" userId="btate@aftonpartners.com" providerId="PeoplePicker"/>
  <person displayName="Peter Tang" id="{A13920B1-4A21-4732-A007-7F325F5A2068}" userId="S::peter@tnscore.org::5ef35e94-fbc6-4c74-913a-e94cdd8bceff" providerId="AD"/>
  <person displayName="Brytain Tate" id="{27295B6C-8F85-45A3-B858-A41473E3CBCC}" userId="S::btate@aftonpartners.com::adcea8a9-2d55-4f33-a90a-d05f16ecb0d1" providerId="AD"/>
  <person displayName="Fulton Breen" id="{BE4DBB28-5210-4323-9513-D310A5B61AE7}" userId="S::fbreen@aftonpartners.com::4b69113a-00a0-45e9-887f-3f60373230b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2-08-03T14:11:25.13" personId="{BE4DBB28-5210-4323-9513-D310A5B61AE7}" id="{E170A359-319F-427F-BBBE-5B0204B19EB1}">
    <text>@Brytain Tate this enrollment tab needs to bring in Chatt-2 into the formulas. Please also delete rows for Grades PK-5th throughout the model.</text>
    <mentions>
      <mention mentionpersonId="{1B3576C0-14FC-4F9F-920B-EF79144A0B7B}" mentionId="{CC33A384-CF09-46F3-B15D-75A1A2079FA0}" startIndex="0" length="13"/>
    </mentions>
  </threadedComment>
  <threadedComment ref="B9" dT="2022-08-05T23:27:05.10" personId="{27295B6C-8F85-45A3-B858-A41473E3CBCC}" id="{3331213F-EF77-41BA-A86F-20E59972F1BC}" parentId="{E170A359-319F-427F-BBBE-5B0204B19EB1}">
    <text xml:space="preserve">Done
</text>
  </threadedComment>
</ThreadedComments>
</file>

<file path=xl/threadedComments/threadedComment2.xml><?xml version="1.0" encoding="utf-8"?>
<ThreadedComments xmlns="http://schemas.microsoft.com/office/spreadsheetml/2018/threadedcomments" xmlns:x="http://schemas.openxmlformats.org/spreadsheetml/2006/main">
  <threadedComment ref="N31" dT="2022-05-10T13:31:46.26" personId="{A13920B1-4A21-4732-A007-7F325F5A2068}" id="{C56318AF-9178-42FD-930C-90B7869A6B0E}">
    <text>Based on FY2020 CDF at 16% of original value ($42M total):
MNPS: $14.3M ($180 per pupil)
SCS: $14.1M ($130 per pupil)
If at 100% value using FY2020 CDF:
MNPS = ~$1100 pp, SCS = ~$780 pp</text>
  </threadedComment>
  <threadedComment ref="X31" dT="2022-05-10T13:31:46.26" personId="{A13920B1-4A21-4732-A007-7F325F5A2068}" id="{F7E5ED07-57AD-426C-A773-C9EFDBDE8A77}">
    <text>Based on FY2020 CDF at 16% of original value ($42M total):
MNPS: $14.3M ($180 pp)
SCS: $14.1M ($130 pp)
If at 100% value using FY2020 CDF:
MNPS = ~$1100 pp, SCS = ~$780 pp</text>
  </threadedComment>
</ThreadedComments>
</file>

<file path=xl/threadedComments/threadedComment3.xml><?xml version="1.0" encoding="utf-8"?>
<ThreadedComments xmlns="http://schemas.microsoft.com/office/spreadsheetml/2018/threadedcomments" xmlns:x="http://schemas.openxmlformats.org/spreadsheetml/2006/main">
  <threadedComment ref="N31" dT="2022-05-10T13:31:46.26" personId="{A13920B1-4A21-4732-A007-7F325F5A2068}" id="{904E36CD-4D5D-4254-80CA-AE649DD03283}">
    <text>Based on FY2020 CDF at 16% of original value ($42M total):
MNPS: $14.3M ($180 per pupil)
SCS: $14.1M ($130 per pupil)
If at 100% value using FY2020 CDF:
MNPS = ~$1100 pp, SCS = ~$780 pp</text>
  </threadedComment>
  <threadedComment ref="X31" dT="2022-05-10T13:31:46.26" personId="{A13920B1-4A21-4732-A007-7F325F5A2068}" id="{EC893BF7-2CDB-4F13-BDBE-B1F06E64DAFA}">
    <text>Based on FY2020 CDF at 16% of original value ($42M total):
MNPS: $14.3M ($180 pp)
SCS: $14.1M ($130 pp)
If at 100% value using FY2020 CDF:
MNPS = ~$1100 pp, SCS = ~$780 pp</text>
  </threadedComment>
</ThreadedComments>
</file>

<file path=xl/threadedComments/threadedComment4.xml><?xml version="1.0" encoding="utf-8"?>
<ThreadedComments xmlns="http://schemas.microsoft.com/office/spreadsheetml/2018/threadedcomments" xmlns:x="http://schemas.openxmlformats.org/spreadsheetml/2006/main">
  <threadedComment ref="N31" dT="2022-05-10T13:31:46.26" personId="{A13920B1-4A21-4732-A007-7F325F5A2068}" id="{02717CE3-0F3E-4A2F-8CC8-775E12C7E139}">
    <text>Based on FY2020 CDF at 16% of original value ($42M total):
MNPS: $14.3M ($180 per pupil)
SCS: $14.1M ($130 per pupil)
If at 100% value using FY2020 CDF:
MNPS = ~$1100 pp, SCS = ~$780 pp</text>
  </threadedComment>
  <threadedComment ref="X31" dT="2022-05-10T13:31:46.26" personId="{A13920B1-4A21-4732-A007-7F325F5A2068}" id="{C7077082-0273-4ADC-830E-CDB2D43B3E5A}">
    <text>Based on FY2020 CDF at 16% of original value ($42M total):
MNPS: $14.3M ($180 pp)
SCS: $14.1M ($130 pp)
If at 100% value using FY2020 CDF:
MNPS = ~$1100 pp, SCS = ~$780 pp</text>
  </threadedComment>
</ThreadedComments>
</file>

<file path=xl/threadedComments/threadedComment5.xml><?xml version="1.0" encoding="utf-8"?>
<ThreadedComments xmlns="http://schemas.microsoft.com/office/spreadsheetml/2018/threadedcomments" xmlns:x="http://schemas.openxmlformats.org/spreadsheetml/2006/main">
  <threadedComment ref="B83" dT="2022-07-05T19:58:51.34" personId="{BE4DBB28-5210-4323-9513-D310A5B61AE7}" id="{8D40B47E-F6A1-4666-B0F8-780A303ABAC6}">
    <text>@Brytain Tate I am switching two Facility Inputs (Utilities and Rent) to be a total "per facility" costs instead of per pupil, because these costs will stay relatively fixed regardless of pupil count.</text>
    <mentions>
      <mention mentionpersonId="{1B3576C0-14FC-4F9F-920B-EF79144A0B7B}" mentionId="{2F85D3B9-64CC-4772-8FAD-44C37ED57BCD}" startIndex="0" length="13"/>
    </mentions>
  </threadedComment>
</ThreadedComment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Bradscott@chattanoogaprep.co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tn.gov/content/dam/tn/education/2021-funding-engagement/TISA%20Unique%20Learning%20Needs%20Crosswalk.pdf" TargetMode="External"/><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tn.gov/content/dam/tn/education/2021-funding-engagement/TISA%20Unique%20Learning%20Needs%20Crosswalk.pdf" TargetMode="External"/><Relationship Id="rId5" Type="http://schemas.microsoft.com/office/2017/10/relationships/threadedComment" Target="../threadedComments/threadedComment3.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tn.gov/content/dam/tn/education/2021-funding-engagement/TISA%20Unique%20Learning%20Needs%20Crosswalk.pdf" TargetMode="External"/><Relationship Id="rId5" Type="http://schemas.microsoft.com/office/2017/10/relationships/threadedComment" Target="../threadedComments/threadedComment4.xml"/><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L18"/>
  <sheetViews>
    <sheetView topLeftCell="A4" workbookViewId="0">
      <selection activeCell="A8" sqref="A8:C18"/>
    </sheetView>
  </sheetViews>
  <sheetFormatPr defaultColWidth="8.85546875" defaultRowHeight="15"/>
  <sheetData>
    <row r="6" spans="1:12">
      <c r="A6" t="s">
        <v>0</v>
      </c>
      <c r="B6" t="s">
        <v>1</v>
      </c>
      <c r="C6" t="s">
        <v>2</v>
      </c>
      <c r="D6" t="s">
        <v>3</v>
      </c>
      <c r="E6" t="s">
        <v>4</v>
      </c>
      <c r="F6" t="s">
        <v>5</v>
      </c>
      <c r="G6" t="s">
        <v>6</v>
      </c>
      <c r="H6" t="s">
        <v>7</v>
      </c>
      <c r="I6" t="s">
        <v>8</v>
      </c>
      <c r="J6" t="s">
        <v>9</v>
      </c>
      <c r="K6" t="s">
        <v>10</v>
      </c>
      <c r="L6" t="s">
        <v>11</v>
      </c>
    </row>
    <row r="8" spans="1:12">
      <c r="A8" t="s">
        <v>1</v>
      </c>
      <c r="B8" t="s">
        <v>2</v>
      </c>
      <c r="C8" t="s">
        <v>12</v>
      </c>
    </row>
    <row r="9" spans="1:12">
      <c r="A9" t="s">
        <v>2</v>
      </c>
      <c r="B9" t="s">
        <v>3</v>
      </c>
      <c r="C9" t="s">
        <v>1</v>
      </c>
    </row>
    <row r="10" spans="1:12">
      <c r="A10" t="s">
        <v>3</v>
      </c>
      <c r="B10" t="s">
        <v>4</v>
      </c>
      <c r="C10" t="s">
        <v>2</v>
      </c>
    </row>
    <row r="11" spans="1:12">
      <c r="A11" t="s">
        <v>4</v>
      </c>
      <c r="B11" t="s">
        <v>5</v>
      </c>
      <c r="C11" t="s">
        <v>3</v>
      </c>
    </row>
    <row r="12" spans="1:12">
      <c r="A12" t="s">
        <v>5</v>
      </c>
      <c r="B12" t="s">
        <v>6</v>
      </c>
      <c r="C12" t="s">
        <v>4</v>
      </c>
    </row>
    <row r="13" spans="1:12">
      <c r="A13" t="s">
        <v>6</v>
      </c>
      <c r="B13" t="s">
        <v>7</v>
      </c>
      <c r="C13" t="s">
        <v>5</v>
      </c>
    </row>
    <row r="14" spans="1:12">
      <c r="A14" t="s">
        <v>7</v>
      </c>
      <c r="B14" t="s">
        <v>8</v>
      </c>
      <c r="C14" t="s">
        <v>6</v>
      </c>
    </row>
    <row r="15" spans="1:12">
      <c r="A15" t="s">
        <v>8</v>
      </c>
      <c r="B15" t="s">
        <v>9</v>
      </c>
      <c r="C15" t="s">
        <v>7</v>
      </c>
    </row>
    <row r="16" spans="1:12">
      <c r="A16" t="s">
        <v>9</v>
      </c>
      <c r="B16" t="s">
        <v>10</v>
      </c>
      <c r="C16" t="s">
        <v>8</v>
      </c>
    </row>
    <row r="17" spans="1:3">
      <c r="A17" t="s">
        <v>10</v>
      </c>
      <c r="B17" t="s">
        <v>11</v>
      </c>
      <c r="C17" t="s">
        <v>9</v>
      </c>
    </row>
    <row r="18" spans="1:3">
      <c r="A18" t="s">
        <v>11</v>
      </c>
      <c r="B18" t="s">
        <v>13</v>
      </c>
      <c r="C18" t="s">
        <v>10</v>
      </c>
    </row>
  </sheetData>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ED1A6-24C7-440B-BA31-79F0B35F4D8C}">
  <sheetPr>
    <tabColor theme="9" tint="0.79998168889431442"/>
  </sheetPr>
  <dimension ref="A1:U34"/>
  <sheetViews>
    <sheetView workbookViewId="0">
      <selection activeCell="B34" sqref="B34"/>
    </sheetView>
  </sheetViews>
  <sheetFormatPr defaultColWidth="8.7109375" defaultRowHeight="15"/>
  <cols>
    <col min="1" max="1" width="32.28515625" bestFit="1" customWidth="1"/>
    <col min="2" max="2" width="50.28515625" bestFit="1" customWidth="1"/>
    <col min="3" max="3" width="9.7109375" bestFit="1" customWidth="1"/>
    <col min="4" max="4" width="1.85546875" bestFit="1" customWidth="1"/>
    <col min="5" max="5" width="16.28515625" bestFit="1" customWidth="1"/>
    <col min="6" max="6" width="12.42578125" customWidth="1"/>
    <col min="7" max="7" width="1.85546875" bestFit="1" customWidth="1"/>
    <col min="8" max="8" width="9.85546875" customWidth="1"/>
    <col min="17" max="17" width="13" customWidth="1"/>
  </cols>
  <sheetData>
    <row r="1" spans="1:21">
      <c r="A1" t="s">
        <v>580</v>
      </c>
    </row>
    <row r="3" spans="1:21" ht="15.75" thickBot="1">
      <c r="B3" t="s">
        <v>581</v>
      </c>
      <c r="C3" s="384">
        <f>[2]ENROLLMENT!H17</f>
        <v>302</v>
      </c>
    </row>
    <row r="4" spans="1:21" ht="16.5" thickBot="1">
      <c r="A4" s="317" t="s">
        <v>582</v>
      </c>
      <c r="B4" s="87" t="s">
        <v>521</v>
      </c>
      <c r="C4" s="385">
        <f>6860</f>
        <v>6860</v>
      </c>
      <c r="E4" t="s">
        <v>522</v>
      </c>
      <c r="F4" s="385">
        <f>C3*C4</f>
        <v>2071720</v>
      </c>
    </row>
    <row r="5" spans="1:21" ht="15.75" thickBot="1">
      <c r="A5" s="386" t="s">
        <v>524</v>
      </c>
      <c r="B5" s="387"/>
      <c r="C5" s="388" t="s">
        <v>525</v>
      </c>
      <c r="D5" s="388"/>
      <c r="E5" s="387" t="s">
        <v>526</v>
      </c>
      <c r="F5" s="388"/>
      <c r="G5" s="388"/>
      <c r="H5" s="389" t="s">
        <v>527</v>
      </c>
      <c r="M5" t="s">
        <v>528</v>
      </c>
      <c r="Q5" s="423" t="s">
        <v>529</v>
      </c>
      <c r="R5" s="424"/>
      <c r="T5" t="s">
        <v>530</v>
      </c>
    </row>
    <row r="6" spans="1:21">
      <c r="A6" s="390" t="s">
        <v>531</v>
      </c>
      <c r="B6" s="391" t="s">
        <v>532</v>
      </c>
      <c r="C6" s="392">
        <v>0.25</v>
      </c>
      <c r="D6" s="392" t="s">
        <v>533</v>
      </c>
      <c r="E6" s="393">
        <f t="shared" ref="E6:E19" si="0">ROUND($C$3*Q6,0.5)</f>
        <v>138</v>
      </c>
      <c r="F6" s="394" t="s">
        <v>534</v>
      </c>
      <c r="G6" s="394" t="s">
        <v>535</v>
      </c>
      <c r="H6" s="395">
        <f t="shared" ref="H6:H19" si="1">IFERROR(C6*E6*6860,0)</f>
        <v>236670</v>
      </c>
      <c r="I6" s="396">
        <v>85.553792254368219</v>
      </c>
      <c r="M6" s="397">
        <v>0.35647413439320091</v>
      </c>
      <c r="Q6" s="425">
        <f>M6+0.1</f>
        <v>0.45647413439320095</v>
      </c>
      <c r="R6" s="426"/>
      <c r="T6" s="398">
        <f t="shared" ref="T6:T19" si="2">Q6-M6</f>
        <v>0.10000000000000003</v>
      </c>
      <c r="U6" t="s">
        <v>536</v>
      </c>
    </row>
    <row r="7" spans="1:21">
      <c r="A7" s="390" t="s">
        <v>537</v>
      </c>
      <c r="B7" s="391" t="s">
        <v>538</v>
      </c>
      <c r="C7" s="392">
        <v>0.05</v>
      </c>
      <c r="D7" s="392" t="s">
        <v>533</v>
      </c>
      <c r="E7" s="393">
        <f t="shared" si="0"/>
        <v>302</v>
      </c>
      <c r="F7" s="394" t="s">
        <v>534</v>
      </c>
      <c r="G7" s="394" t="s">
        <v>535</v>
      </c>
      <c r="H7" s="395">
        <f t="shared" si="1"/>
        <v>103586.00000000001</v>
      </c>
      <c r="I7" s="396">
        <v>140.49466326225996</v>
      </c>
      <c r="M7" s="397">
        <v>0.58539443025941651</v>
      </c>
      <c r="Q7" s="425">
        <v>1</v>
      </c>
      <c r="R7" s="426"/>
      <c r="T7" s="398">
        <f t="shared" si="2"/>
        <v>0.41460556974058349</v>
      </c>
      <c r="U7" t="s">
        <v>539</v>
      </c>
    </row>
    <row r="8" spans="1:21">
      <c r="A8" s="390" t="s">
        <v>540</v>
      </c>
      <c r="B8" s="391" t="s">
        <v>541</v>
      </c>
      <c r="C8" s="392">
        <v>0.05</v>
      </c>
      <c r="D8" s="392" t="s">
        <v>533</v>
      </c>
      <c r="E8" s="393">
        <f t="shared" si="0"/>
        <v>0</v>
      </c>
      <c r="F8" s="394" t="s">
        <v>534</v>
      </c>
      <c r="G8" s="394" t="s">
        <v>535</v>
      </c>
      <c r="H8" s="395">
        <f t="shared" si="1"/>
        <v>0</v>
      </c>
      <c r="I8" s="396">
        <v>0</v>
      </c>
      <c r="M8" s="397">
        <v>0</v>
      </c>
      <c r="Q8" s="425">
        <v>0</v>
      </c>
      <c r="R8" s="426"/>
      <c r="T8" s="398">
        <f t="shared" si="2"/>
        <v>0</v>
      </c>
    </row>
    <row r="9" spans="1:21">
      <c r="A9" s="390" t="s">
        <v>542</v>
      </c>
      <c r="B9" s="399" t="s">
        <v>543</v>
      </c>
      <c r="C9" s="392">
        <v>0.05</v>
      </c>
      <c r="D9" s="392" t="s">
        <v>533</v>
      </c>
      <c r="E9" s="393">
        <f t="shared" si="0"/>
        <v>0</v>
      </c>
      <c r="F9" s="394" t="s">
        <v>534</v>
      </c>
      <c r="G9" s="394" t="s">
        <v>535</v>
      </c>
      <c r="H9" s="395">
        <f t="shared" si="1"/>
        <v>0</v>
      </c>
      <c r="I9" s="396">
        <v>0.41681139284473778</v>
      </c>
      <c r="M9" s="397">
        <v>1.7367141368530741E-3</v>
      </c>
      <c r="Q9" s="425">
        <v>0</v>
      </c>
      <c r="R9" s="426"/>
      <c r="T9" s="398">
        <f t="shared" si="2"/>
        <v>-1.7367141368530741E-3</v>
      </c>
    </row>
    <row r="10" spans="1:21">
      <c r="A10" s="390" t="s">
        <v>544</v>
      </c>
      <c r="B10" s="391" t="s">
        <v>545</v>
      </c>
      <c r="C10" s="392">
        <v>0.15</v>
      </c>
      <c r="D10" s="392" t="s">
        <v>533</v>
      </c>
      <c r="E10" s="393">
        <f t="shared" si="0"/>
        <v>21</v>
      </c>
      <c r="F10" s="394" t="s">
        <v>534</v>
      </c>
      <c r="G10" s="394" t="s">
        <v>535</v>
      </c>
      <c r="H10" s="395">
        <f t="shared" si="1"/>
        <v>21609</v>
      </c>
      <c r="I10" s="396">
        <v>16.647198473812285</v>
      </c>
      <c r="M10" s="397">
        <v>6.9363326974217848E-2</v>
      </c>
      <c r="Q10" s="425">
        <v>6.9363326974217848E-2</v>
      </c>
      <c r="R10" s="426"/>
      <c r="T10" s="398">
        <f t="shared" si="2"/>
        <v>0</v>
      </c>
    </row>
    <row r="11" spans="1:21">
      <c r="A11" s="390" t="s">
        <v>546</v>
      </c>
      <c r="B11" s="399" t="s">
        <v>547</v>
      </c>
      <c r="C11" s="392">
        <v>0.2</v>
      </c>
      <c r="D11" s="392" t="s">
        <v>533</v>
      </c>
      <c r="E11" s="393">
        <f t="shared" si="0"/>
        <v>38</v>
      </c>
      <c r="F11" s="394" t="s">
        <v>534</v>
      </c>
      <c r="G11" s="394" t="s">
        <v>535</v>
      </c>
      <c r="H11" s="395">
        <f t="shared" si="1"/>
        <v>52136.000000000007</v>
      </c>
      <c r="I11" s="396">
        <v>30.316363187931742</v>
      </c>
      <c r="M11" s="397">
        <v>0.12631817994971559</v>
      </c>
      <c r="Q11" s="425">
        <v>0.12631817994971559</v>
      </c>
      <c r="R11" s="426"/>
      <c r="T11" s="398">
        <f t="shared" si="2"/>
        <v>0</v>
      </c>
    </row>
    <row r="12" spans="1:21">
      <c r="A12" s="390" t="s">
        <v>548</v>
      </c>
      <c r="B12" s="391" t="s">
        <v>549</v>
      </c>
      <c r="C12" s="392">
        <v>0.4</v>
      </c>
      <c r="D12" s="392" t="s">
        <v>533</v>
      </c>
      <c r="E12" s="393">
        <f t="shared" si="0"/>
        <v>24</v>
      </c>
      <c r="F12" s="394" t="s">
        <v>534</v>
      </c>
      <c r="G12" s="394" t="s">
        <v>535</v>
      </c>
      <c r="H12" s="395">
        <f t="shared" si="1"/>
        <v>65856.000000000015</v>
      </c>
      <c r="I12" s="396">
        <v>8.3178578383904131</v>
      </c>
      <c r="M12" s="397">
        <v>3.4657740993293391E-2</v>
      </c>
      <c r="Q12" s="425">
        <v>0.08</v>
      </c>
      <c r="R12" s="426"/>
      <c r="T12" s="398">
        <f t="shared" si="2"/>
        <v>4.534225900670661E-2</v>
      </c>
    </row>
    <row r="13" spans="1:21" ht="14.45" customHeight="1">
      <c r="A13" s="390" t="s">
        <v>550</v>
      </c>
      <c r="B13" s="399" t="s">
        <v>583</v>
      </c>
      <c r="C13" s="392">
        <v>0.6</v>
      </c>
      <c r="D13" s="392" t="s">
        <v>533</v>
      </c>
      <c r="E13" s="393">
        <f t="shared" si="0"/>
        <v>54</v>
      </c>
      <c r="F13" s="394" t="s">
        <v>534</v>
      </c>
      <c r="G13" s="394" t="s">
        <v>535</v>
      </c>
      <c r="H13" s="395">
        <f t="shared" si="1"/>
        <v>222264</v>
      </c>
      <c r="I13" s="396">
        <v>0.82945687852561978</v>
      </c>
      <c r="M13" s="397">
        <v>3.4560703271900822E-3</v>
      </c>
      <c r="Q13" s="425">
        <v>0.18</v>
      </c>
      <c r="R13" s="426"/>
      <c r="T13" s="398">
        <f t="shared" si="2"/>
        <v>0.17654392967280991</v>
      </c>
    </row>
    <row r="14" spans="1:21">
      <c r="A14" s="390" t="s">
        <v>552</v>
      </c>
      <c r="B14" s="399" t="s">
        <v>553</v>
      </c>
      <c r="C14" s="392">
        <v>0.7</v>
      </c>
      <c r="D14" s="392" t="s">
        <v>533</v>
      </c>
      <c r="E14" s="393">
        <f t="shared" si="0"/>
        <v>21</v>
      </c>
      <c r="F14" s="394" t="s">
        <v>534</v>
      </c>
      <c r="G14" s="394" t="s">
        <v>535</v>
      </c>
      <c r="H14" s="395">
        <f t="shared" si="1"/>
        <v>100842</v>
      </c>
      <c r="I14" s="396">
        <v>16.694369588378116</v>
      </c>
      <c r="M14" s="397">
        <v>6.9559873284908813E-2</v>
      </c>
      <c r="Q14" s="425">
        <v>6.9559873284908813E-2</v>
      </c>
      <c r="R14" s="426"/>
      <c r="T14" s="398">
        <f t="shared" si="2"/>
        <v>0</v>
      </c>
    </row>
    <row r="15" spans="1:21">
      <c r="A15" s="390" t="s">
        <v>554</v>
      </c>
      <c r="B15" s="391" t="s">
        <v>555</v>
      </c>
      <c r="C15" s="392">
        <v>0.75</v>
      </c>
      <c r="D15" s="392" t="s">
        <v>533</v>
      </c>
      <c r="E15" s="393">
        <f t="shared" si="0"/>
        <v>2</v>
      </c>
      <c r="F15" s="394" t="s">
        <v>534</v>
      </c>
      <c r="G15" s="394" t="s">
        <v>535</v>
      </c>
      <c r="H15" s="395">
        <f t="shared" si="1"/>
        <v>10290</v>
      </c>
      <c r="I15" s="396">
        <v>1.4177750193906975</v>
      </c>
      <c r="M15" s="397">
        <v>5.9073959141279064E-3</v>
      </c>
      <c r="Q15" s="425">
        <v>5.9073959141279064E-3</v>
      </c>
      <c r="R15" s="426"/>
      <c r="T15" s="398">
        <f t="shared" si="2"/>
        <v>0</v>
      </c>
    </row>
    <row r="16" spans="1:21">
      <c r="A16" s="390" t="s">
        <v>556</v>
      </c>
      <c r="B16" s="391" t="s">
        <v>557</v>
      </c>
      <c r="C16" s="392">
        <v>0.8</v>
      </c>
      <c r="D16" s="392" t="s">
        <v>533</v>
      </c>
      <c r="E16" s="393">
        <f t="shared" si="0"/>
        <v>2</v>
      </c>
      <c r="F16" s="394" t="s">
        <v>534</v>
      </c>
      <c r="G16" s="394" t="s">
        <v>535</v>
      </c>
      <c r="H16" s="395">
        <f t="shared" si="1"/>
        <v>10976</v>
      </c>
      <c r="I16" s="396">
        <v>1.4741108076436074</v>
      </c>
      <c r="M16" s="397">
        <v>6.1421283651816976E-3</v>
      </c>
      <c r="Q16" s="425">
        <v>6.1421283651816976E-3</v>
      </c>
      <c r="R16" s="426"/>
      <c r="T16" s="398">
        <f t="shared" si="2"/>
        <v>0</v>
      </c>
    </row>
    <row r="17" spans="1:20">
      <c r="A17" s="390" t="s">
        <v>558</v>
      </c>
      <c r="B17" s="391" t="s">
        <v>559</v>
      </c>
      <c r="C17" s="392">
        <v>1</v>
      </c>
      <c r="D17" s="392" t="s">
        <v>533</v>
      </c>
      <c r="E17" s="393">
        <f t="shared" si="0"/>
        <v>0</v>
      </c>
      <c r="F17" s="394" t="s">
        <v>534</v>
      </c>
      <c r="G17" s="394" t="s">
        <v>535</v>
      </c>
      <c r="H17" s="395">
        <f t="shared" si="1"/>
        <v>0</v>
      </c>
      <c r="I17" s="396">
        <v>0.22183901307246362</v>
      </c>
      <c r="M17" s="397">
        <v>9.2432922113526504E-4</v>
      </c>
      <c r="Q17" s="425">
        <v>9.2432922113526504E-4</v>
      </c>
      <c r="R17" s="426"/>
      <c r="T17" s="398">
        <f t="shared" si="2"/>
        <v>0</v>
      </c>
    </row>
    <row r="18" spans="1:20">
      <c r="A18" s="390" t="s">
        <v>560</v>
      </c>
      <c r="B18" s="391" t="s">
        <v>561</v>
      </c>
      <c r="C18" s="392">
        <v>1.25</v>
      </c>
      <c r="D18" s="392" t="s">
        <v>533</v>
      </c>
      <c r="E18" s="393">
        <f t="shared" si="0"/>
        <v>4</v>
      </c>
      <c r="F18" s="394" t="s">
        <v>534</v>
      </c>
      <c r="G18" s="394" t="s">
        <v>535</v>
      </c>
      <c r="H18" s="395">
        <f t="shared" si="1"/>
        <v>34300</v>
      </c>
      <c r="I18" s="396">
        <v>3.3247818841356134</v>
      </c>
      <c r="M18" s="397">
        <v>1.3853257850565055E-2</v>
      </c>
      <c r="Q18" s="425">
        <v>1.3853257850565055E-2</v>
      </c>
      <c r="R18" s="426"/>
      <c r="T18" s="398">
        <f t="shared" si="2"/>
        <v>0</v>
      </c>
    </row>
    <row r="19" spans="1:20" ht="15.75" thickBot="1">
      <c r="A19" s="390" t="s">
        <v>562</v>
      </c>
      <c r="B19" s="391" t="s">
        <v>563</v>
      </c>
      <c r="C19" s="392">
        <v>1.5</v>
      </c>
      <c r="D19" s="392" t="s">
        <v>533</v>
      </c>
      <c r="E19" s="393">
        <f t="shared" si="0"/>
        <v>0</v>
      </c>
      <c r="F19" s="394" t="s">
        <v>534</v>
      </c>
      <c r="G19" s="394" t="s">
        <v>535</v>
      </c>
      <c r="H19" s="395">
        <f t="shared" si="1"/>
        <v>0</v>
      </c>
      <c r="I19" s="396">
        <v>0.11089255161362276</v>
      </c>
      <c r="M19" s="397">
        <v>4.6205229839009482E-4</v>
      </c>
      <c r="Q19" s="427">
        <v>4.6205229839009482E-4</v>
      </c>
      <c r="R19" s="428"/>
      <c r="T19" s="398">
        <f t="shared" si="2"/>
        <v>0</v>
      </c>
    </row>
    <row r="20" spans="1:20" ht="15.75" thickBot="1">
      <c r="A20" s="386" t="s">
        <v>564</v>
      </c>
      <c r="B20" s="387"/>
      <c r="C20" s="388"/>
      <c r="D20" s="388"/>
      <c r="E20" s="387"/>
      <c r="F20" s="388"/>
      <c r="G20" s="388"/>
      <c r="H20" s="389"/>
    </row>
    <row r="21" spans="1:20" ht="15.75" thickBot="1">
      <c r="A21" s="405" t="s">
        <v>572</v>
      </c>
      <c r="B21" s="406" t="s">
        <v>573</v>
      </c>
      <c r="C21" s="407">
        <v>500</v>
      </c>
      <c r="D21" s="408" t="s">
        <v>533</v>
      </c>
      <c r="E21" s="409">
        <f>C3</f>
        <v>302</v>
      </c>
      <c r="F21" s="410"/>
      <c r="G21" s="410" t="s">
        <v>535</v>
      </c>
      <c r="H21" s="411">
        <f>IFERROR(C21*E21,0)</f>
        <v>151000</v>
      </c>
      <c r="I21" s="396">
        <v>9</v>
      </c>
      <c r="Q21" s="343">
        <v>1</v>
      </c>
    </row>
    <row r="22" spans="1:20" ht="15.75" thickBot="1">
      <c r="A22" s="390"/>
      <c r="B22" s="400"/>
      <c r="C22" s="401"/>
      <c r="D22" s="402"/>
      <c r="E22" s="429"/>
      <c r="F22" s="394"/>
      <c r="G22" s="394"/>
      <c r="H22" s="430"/>
    </row>
    <row r="23" spans="1:20">
      <c r="A23" s="412" t="s">
        <v>574</v>
      </c>
      <c r="B23" s="413"/>
      <c r="C23" s="413"/>
      <c r="D23" s="413"/>
      <c r="E23" s="413"/>
      <c r="F23" s="413"/>
      <c r="G23" s="413"/>
      <c r="H23" s="414">
        <f>SUM(H6:H21,F4)</f>
        <v>3081249</v>
      </c>
    </row>
    <row r="24" spans="1:20">
      <c r="A24" s="415" t="s">
        <v>575</v>
      </c>
      <c r="B24" s="416"/>
      <c r="C24" s="416"/>
      <c r="D24" s="416"/>
      <c r="E24" s="416"/>
      <c r="F24" s="416"/>
      <c r="G24" s="416"/>
      <c r="H24" s="417">
        <f>H23/C3</f>
        <v>10202.811258278145</v>
      </c>
      <c r="M24" s="164" t="s">
        <v>584</v>
      </c>
    </row>
    <row r="25" spans="1:20" ht="15.75" thickBot="1">
      <c r="A25" s="418" t="s">
        <v>576</v>
      </c>
      <c r="B25" s="419"/>
      <c r="C25" s="419"/>
      <c r="D25" s="419"/>
      <c r="E25" s="419"/>
      <c r="F25" s="419"/>
      <c r="G25" s="419"/>
      <c r="H25" s="431">
        <f>H24+H28</f>
        <v>12344.811258278145</v>
      </c>
    </row>
    <row r="26" spans="1:20">
      <c r="A26" s="421" t="s">
        <v>577</v>
      </c>
      <c r="B26" s="416"/>
      <c r="C26" s="416"/>
      <c r="D26" s="416"/>
      <c r="E26" s="416"/>
      <c r="F26" s="416"/>
      <c r="G26" s="416"/>
      <c r="H26" s="422">
        <v>11040</v>
      </c>
    </row>
    <row r="27" spans="1:20">
      <c r="A27" s="164" t="s">
        <v>585</v>
      </c>
      <c r="B27" s="164"/>
      <c r="C27" s="164"/>
      <c r="D27" s="164"/>
      <c r="E27" s="164"/>
      <c r="F27" s="164"/>
      <c r="G27" s="164"/>
      <c r="H27" s="383">
        <f>H25/H26-1</f>
        <v>0.11818942556867262</v>
      </c>
    </row>
    <row r="28" spans="1:20">
      <c r="F28" s="256" t="s">
        <v>586</v>
      </c>
      <c r="H28" s="166">
        <v>2142</v>
      </c>
    </row>
    <row r="34" spans="2:2" ht="15.75">
      <c r="B34" s="432" t="s">
        <v>587</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127FC-2186-480D-8043-F631C51E3CB5}">
  <sheetPr>
    <tabColor theme="5"/>
    <outlinePr summaryBelow="0" summaryRight="0"/>
  </sheetPr>
  <dimension ref="A1:J48"/>
  <sheetViews>
    <sheetView workbookViewId="0">
      <selection activeCell="C9" sqref="C9:C10"/>
    </sheetView>
  </sheetViews>
  <sheetFormatPr defaultColWidth="14.28515625" defaultRowHeight="15.75" customHeight="1"/>
  <cols>
    <col min="1" max="1" width="6.28515625" style="523" customWidth="1"/>
    <col min="2" max="2" width="36.140625" style="523" customWidth="1"/>
    <col min="3" max="5" width="14.42578125" style="523" customWidth="1"/>
    <col min="6" max="16384" width="14.28515625" style="523"/>
  </cols>
  <sheetData>
    <row r="1" spans="1:10" ht="12.75">
      <c r="A1" s="599"/>
      <c r="B1" s="600" t="s">
        <v>303</v>
      </c>
      <c r="C1" s="601" t="s">
        <v>670</v>
      </c>
      <c r="D1" s="601" t="s">
        <v>671</v>
      </c>
      <c r="E1" s="601" t="s">
        <v>672</v>
      </c>
      <c r="F1" s="601" t="s">
        <v>673</v>
      </c>
      <c r="G1" s="599" t="s">
        <v>674</v>
      </c>
      <c r="J1" s="602" t="s">
        <v>675</v>
      </c>
    </row>
    <row r="2" spans="1:10" ht="15.75" customHeight="1">
      <c r="A2" s="603">
        <v>44900</v>
      </c>
      <c r="B2" s="326" t="s">
        <v>676</v>
      </c>
      <c r="C2" s="604">
        <v>1257246.83</v>
      </c>
      <c r="D2" s="604">
        <v>931583.07</v>
      </c>
      <c r="E2" s="604">
        <v>758504.72</v>
      </c>
      <c r="F2" s="604">
        <v>116377.53</v>
      </c>
      <c r="G2" s="599" t="s">
        <v>677</v>
      </c>
      <c r="J2" s="523" t="s">
        <v>678</v>
      </c>
    </row>
    <row r="3" spans="1:10" ht="15.75" customHeight="1">
      <c r="A3" s="603">
        <v>44910</v>
      </c>
      <c r="B3" s="326" t="s">
        <v>679</v>
      </c>
      <c r="C3" s="604">
        <v>11897.53</v>
      </c>
      <c r="D3" s="604">
        <f>29042.19+7417.75</f>
        <v>36459.94</v>
      </c>
      <c r="E3" s="604">
        <v>21839.24</v>
      </c>
      <c r="F3" s="604">
        <v>13119.04</v>
      </c>
      <c r="J3" s="523" t="s">
        <v>680</v>
      </c>
    </row>
    <row r="4" spans="1:10" ht="15.75" customHeight="1">
      <c r="A4" s="603">
        <v>44930</v>
      </c>
      <c r="B4" s="599" t="s">
        <v>681</v>
      </c>
      <c r="C4" s="604">
        <v>1920</v>
      </c>
      <c r="D4" s="604">
        <v>22113.62</v>
      </c>
      <c r="E4" s="604">
        <v>149286.19</v>
      </c>
      <c r="F4" s="604">
        <v>24000</v>
      </c>
      <c r="J4" s="523" t="s">
        <v>682</v>
      </c>
    </row>
    <row r="5" spans="1:10" ht="15.75" customHeight="1">
      <c r="A5" s="603">
        <v>44950</v>
      </c>
      <c r="B5" s="599" t="s">
        <v>683</v>
      </c>
      <c r="C5" s="604">
        <v>0</v>
      </c>
      <c r="D5" s="604">
        <v>0</v>
      </c>
      <c r="E5" s="604">
        <v>0</v>
      </c>
      <c r="F5" s="604">
        <v>27194.26</v>
      </c>
      <c r="J5" s="523" t="s">
        <v>684</v>
      </c>
    </row>
    <row r="6" spans="1:10" ht="12.75">
      <c r="A6" s="603">
        <v>46510</v>
      </c>
      <c r="B6" s="605" t="s">
        <v>685</v>
      </c>
      <c r="C6" s="604">
        <v>12600</v>
      </c>
      <c r="D6" s="604">
        <v>37400</v>
      </c>
      <c r="E6" s="604">
        <v>46800</v>
      </c>
      <c r="F6" s="604">
        <v>5200</v>
      </c>
      <c r="J6" s="523" t="s">
        <v>344</v>
      </c>
    </row>
    <row r="7" spans="1:10" ht="12.75">
      <c r="A7" s="603">
        <v>46511</v>
      </c>
      <c r="B7" s="605" t="s">
        <v>686</v>
      </c>
      <c r="C7" s="604">
        <v>557290.1</v>
      </c>
      <c r="D7" s="604">
        <v>1274239.1299999999</v>
      </c>
      <c r="E7" s="604">
        <v>1886799.6</v>
      </c>
      <c r="F7" s="604">
        <v>263206.67</v>
      </c>
      <c r="J7" s="523" t="s">
        <v>344</v>
      </c>
    </row>
    <row r="8" spans="1:10" ht="12.75">
      <c r="A8" s="603">
        <v>46590</v>
      </c>
      <c r="B8" s="605" t="s">
        <v>687</v>
      </c>
      <c r="C8" s="604">
        <v>0</v>
      </c>
      <c r="D8" s="604">
        <v>0</v>
      </c>
      <c r="E8" s="604">
        <v>0</v>
      </c>
      <c r="F8" s="604"/>
      <c r="J8" s="523" t="s">
        <v>344</v>
      </c>
    </row>
    <row r="9" spans="1:10" ht="12.75">
      <c r="A9" s="603">
        <v>47111</v>
      </c>
      <c r="B9" s="326" t="s">
        <v>688</v>
      </c>
      <c r="C9" s="604">
        <v>34682.79</v>
      </c>
      <c r="D9" s="604">
        <v>44273.61</v>
      </c>
      <c r="E9" s="604">
        <v>9688.6299999999992</v>
      </c>
      <c r="F9" s="604">
        <v>13265.42</v>
      </c>
      <c r="J9" s="523" t="s">
        <v>344</v>
      </c>
    </row>
    <row r="10" spans="1:10" ht="12.75">
      <c r="A10" s="603">
        <v>47113</v>
      </c>
      <c r="B10" s="326" t="s">
        <v>445</v>
      </c>
      <c r="C10" s="604">
        <v>14878.48</v>
      </c>
      <c r="D10" s="604">
        <v>15711.51</v>
      </c>
      <c r="E10" s="604">
        <v>4774.17</v>
      </c>
      <c r="F10" s="604">
        <v>1582.56</v>
      </c>
      <c r="J10" s="523" t="s">
        <v>344</v>
      </c>
    </row>
    <row r="11" spans="1:10" ht="12.75">
      <c r="A11" s="603">
        <v>47114</v>
      </c>
      <c r="B11" s="326" t="s">
        <v>689</v>
      </c>
      <c r="C11" s="604">
        <v>0</v>
      </c>
      <c r="D11" s="604">
        <v>1457</v>
      </c>
      <c r="E11" s="604">
        <v>0</v>
      </c>
      <c r="F11" s="604"/>
      <c r="J11" s="523" t="s">
        <v>344</v>
      </c>
    </row>
    <row r="12" spans="1:10" ht="12.75">
      <c r="A12" s="603">
        <v>47141</v>
      </c>
      <c r="B12" s="606" t="s">
        <v>690</v>
      </c>
      <c r="C12" s="604">
        <v>28678.799999999999</v>
      </c>
      <c r="D12" s="604">
        <v>54988.62</v>
      </c>
      <c r="E12" s="604">
        <v>97613.58</v>
      </c>
      <c r="F12" s="604">
        <v>15011.88</v>
      </c>
      <c r="J12" s="523" t="s">
        <v>344</v>
      </c>
    </row>
    <row r="13" spans="1:10" ht="12.75">
      <c r="A13" s="603">
        <v>47143</v>
      </c>
      <c r="B13" s="606" t="s">
        <v>691</v>
      </c>
      <c r="C13" s="604">
        <v>17284</v>
      </c>
      <c r="D13" s="604">
        <v>28487</v>
      </c>
      <c r="E13" s="604">
        <v>43146.83</v>
      </c>
      <c r="F13" s="604">
        <v>0</v>
      </c>
      <c r="J13" s="523" t="s">
        <v>344</v>
      </c>
    </row>
    <row r="14" spans="1:10" ht="12.75">
      <c r="A14" s="603">
        <v>47189</v>
      </c>
      <c r="B14" s="606" t="s">
        <v>692</v>
      </c>
      <c r="C14" s="604">
        <v>0</v>
      </c>
      <c r="D14" s="604">
        <v>0</v>
      </c>
      <c r="E14" s="604">
        <v>0</v>
      </c>
      <c r="F14" s="604">
        <v>0</v>
      </c>
      <c r="J14" s="523" t="s">
        <v>344</v>
      </c>
    </row>
    <row r="15" spans="1:10" ht="12.75">
      <c r="A15" s="603"/>
      <c r="B15" s="606" t="s">
        <v>693</v>
      </c>
      <c r="C15" s="604">
        <v>62030.44</v>
      </c>
      <c r="D15" s="604">
        <v>168859.5</v>
      </c>
      <c r="E15" s="604">
        <v>0</v>
      </c>
      <c r="F15" s="604">
        <v>0</v>
      </c>
    </row>
    <row r="16" spans="1:10" ht="12.75">
      <c r="A16" s="603"/>
      <c r="B16" s="606" t="s">
        <v>694</v>
      </c>
      <c r="C16" s="604">
        <v>0</v>
      </c>
      <c r="D16" s="604">
        <v>0</v>
      </c>
      <c r="E16" s="604">
        <v>186427.5</v>
      </c>
      <c r="F16" s="604">
        <v>0</v>
      </c>
    </row>
    <row r="17" spans="1:9" ht="12.75">
      <c r="A17" s="603"/>
      <c r="B17" s="606" t="s">
        <v>695</v>
      </c>
      <c r="C17" s="604">
        <v>0</v>
      </c>
      <c r="D17" s="604">
        <v>0</v>
      </c>
      <c r="E17" s="604">
        <v>591.74</v>
      </c>
      <c r="F17" s="604">
        <v>52.222999999999999</v>
      </c>
    </row>
    <row r="18" spans="1:9">
      <c r="A18" s="603">
        <v>47590</v>
      </c>
      <c r="B18" s="606" t="s">
        <v>459</v>
      </c>
      <c r="C18" s="604">
        <v>238875.89</v>
      </c>
      <c r="D18" s="604">
        <v>-11446.75</v>
      </c>
      <c r="E18" s="604">
        <v>386901.38</v>
      </c>
      <c r="F18" s="604">
        <v>3338.53</v>
      </c>
      <c r="H18" s="323" t="s">
        <v>696</v>
      </c>
    </row>
    <row r="19" spans="1:9">
      <c r="A19" s="603">
        <v>47990</v>
      </c>
      <c r="B19" s="606" t="s">
        <v>697</v>
      </c>
      <c r="C19" s="604">
        <v>0</v>
      </c>
      <c r="D19" s="604">
        <v>0</v>
      </c>
      <c r="E19" s="604">
        <v>0</v>
      </c>
      <c r="F19" s="604">
        <v>0</v>
      </c>
      <c r="H19" s="323" t="s">
        <v>698</v>
      </c>
    </row>
    <row r="20" spans="1:9" ht="12.75">
      <c r="A20" s="599"/>
      <c r="B20" s="326"/>
      <c r="C20" s="607">
        <f t="shared" ref="C20:F20" si="0">SUM(C1:C19)</f>
        <v>2237384.86</v>
      </c>
      <c r="D20" s="607">
        <f t="shared" si="0"/>
        <v>2604126.2499999995</v>
      </c>
      <c r="E20" s="607">
        <f t="shared" si="0"/>
        <v>3592373.58</v>
      </c>
      <c r="F20" s="607">
        <f t="shared" si="0"/>
        <v>482348.11300000001</v>
      </c>
    </row>
    <row r="21" spans="1:9" ht="12.75">
      <c r="A21" s="599"/>
      <c r="B21" s="608" t="s">
        <v>699</v>
      </c>
      <c r="C21" s="609">
        <f>C45/66</f>
        <v>30980.50227272727</v>
      </c>
      <c r="D21" s="609">
        <f>D45/144</f>
        <v>19345.118958333336</v>
      </c>
      <c r="E21" s="609">
        <f>E45/217</f>
        <v>18129.197695852534</v>
      </c>
      <c r="F21" s="609">
        <f>F45/300</f>
        <v>2744.6338000000001</v>
      </c>
    </row>
    <row r="22" spans="1:9" ht="12.75">
      <c r="A22" s="599"/>
      <c r="B22" s="610" t="s">
        <v>700</v>
      </c>
      <c r="C22" s="611">
        <v>0</v>
      </c>
      <c r="D22" s="612">
        <f t="shared" ref="D22:F22" si="1">D21/C21-1</f>
        <v>-0.37557116446871763</v>
      </c>
      <c r="E22" s="612">
        <f t="shared" si="1"/>
        <v>-6.2854163114722916E-2</v>
      </c>
      <c r="F22" s="612">
        <f t="shared" si="1"/>
        <v>-0.84860699044459653</v>
      </c>
    </row>
    <row r="23" spans="1:9" ht="12.75">
      <c r="A23" s="599"/>
      <c r="B23" s="613" t="s">
        <v>701</v>
      </c>
      <c r="C23" s="614" t="s">
        <v>702</v>
      </c>
      <c r="D23" s="614" t="s">
        <v>703</v>
      </c>
      <c r="E23" s="614" t="s">
        <v>704</v>
      </c>
      <c r="F23" s="614" t="s">
        <v>705</v>
      </c>
    </row>
    <row r="24" spans="1:9" ht="12.75">
      <c r="A24" s="599"/>
      <c r="B24" s="615" t="s">
        <v>706</v>
      </c>
      <c r="C24" s="616">
        <f t="shared" ref="C24:F24" si="2">C2/C20</f>
        <v>0.56192694090188855</v>
      </c>
      <c r="D24" s="616">
        <f t="shared" si="2"/>
        <v>0.35773345090315806</v>
      </c>
      <c r="E24" s="616">
        <f t="shared" si="2"/>
        <v>0.21114305155311824</v>
      </c>
      <c r="F24" s="616">
        <f t="shared" si="2"/>
        <v>0.24127290407788948</v>
      </c>
    </row>
    <row r="25" spans="1:9" ht="12.75">
      <c r="A25" s="599"/>
      <c r="C25" s="617"/>
      <c r="D25" s="617"/>
      <c r="E25" s="617"/>
      <c r="F25" s="617"/>
    </row>
    <row r="26" spans="1:9" ht="12.75">
      <c r="A26" s="599"/>
      <c r="B26" s="618" t="s">
        <v>202</v>
      </c>
      <c r="C26" s="617"/>
      <c r="D26" s="617"/>
      <c r="E26" s="617"/>
      <c r="F26" s="617"/>
    </row>
    <row r="27" spans="1:9" ht="12.75">
      <c r="A27" s="603">
        <v>51000</v>
      </c>
      <c r="B27" s="326" t="s">
        <v>707</v>
      </c>
      <c r="C27" s="604">
        <v>1025797.83</v>
      </c>
      <c r="D27" s="604">
        <v>1330802.23</v>
      </c>
      <c r="E27" s="604">
        <v>2030464.79</v>
      </c>
      <c r="F27" s="604">
        <v>392273.43</v>
      </c>
      <c r="H27" s="523">
        <v>55000</v>
      </c>
      <c r="I27" s="619">
        <f>C27/H27</f>
        <v>18.650869636363634</v>
      </c>
    </row>
    <row r="28" spans="1:9" ht="12.75">
      <c r="A28" s="603">
        <v>51200</v>
      </c>
      <c r="B28" s="326" t="s">
        <v>708</v>
      </c>
      <c r="C28" s="604">
        <v>183437.71</v>
      </c>
      <c r="D28" s="604">
        <v>254211.13</v>
      </c>
      <c r="E28" s="604">
        <v>382064.81</v>
      </c>
      <c r="F28" s="604">
        <v>80386.460000000006</v>
      </c>
    </row>
    <row r="29" spans="1:9" ht="12.75">
      <c r="A29" s="603">
        <v>51300</v>
      </c>
      <c r="B29" s="326" t="s">
        <v>709</v>
      </c>
      <c r="C29" s="604">
        <v>77004.639999999999</v>
      </c>
      <c r="D29" s="604">
        <v>108947.46</v>
      </c>
      <c r="E29" s="604">
        <v>160966.16</v>
      </c>
      <c r="F29" s="604">
        <v>30495.86</v>
      </c>
    </row>
    <row r="30" spans="1:9" ht="12.75">
      <c r="A30" s="603">
        <v>51500</v>
      </c>
      <c r="B30" s="326" t="s">
        <v>710</v>
      </c>
      <c r="C30" s="604">
        <v>16888.66</v>
      </c>
      <c r="D30" s="604">
        <v>47131.47</v>
      </c>
      <c r="E30" s="604">
        <v>27066.71</v>
      </c>
      <c r="F30" s="604">
        <v>5984</v>
      </c>
    </row>
    <row r="31" spans="1:9" ht="12.75">
      <c r="A31" s="603"/>
      <c r="B31" s="326" t="s">
        <v>711</v>
      </c>
      <c r="C31" s="604"/>
      <c r="D31" s="604"/>
      <c r="E31" s="604">
        <v>195560.19</v>
      </c>
      <c r="F31" s="604"/>
    </row>
    <row r="32" spans="1:9" ht="12.75">
      <c r="A32" s="603">
        <v>52000</v>
      </c>
      <c r="B32" s="326" t="s">
        <v>132</v>
      </c>
      <c r="C32" s="604">
        <v>475055.6</v>
      </c>
      <c r="D32" s="604">
        <v>591691.04</v>
      </c>
      <c r="E32" s="604">
        <v>424503.6</v>
      </c>
      <c r="F32" s="604">
        <v>93905.79</v>
      </c>
    </row>
    <row r="33" spans="1:7" ht="12.75">
      <c r="A33" s="603">
        <v>53100</v>
      </c>
      <c r="B33" s="326" t="s">
        <v>712</v>
      </c>
      <c r="C33" s="604">
        <v>22116.28</v>
      </c>
      <c r="D33" s="604">
        <v>13803.94</v>
      </c>
      <c r="E33" s="604">
        <v>1708.79</v>
      </c>
      <c r="F33" s="604">
        <v>0</v>
      </c>
    </row>
    <row r="34" spans="1:7" ht="12.75">
      <c r="A34" s="603">
        <v>53300</v>
      </c>
      <c r="B34" s="326" t="s">
        <v>146</v>
      </c>
      <c r="C34" s="604">
        <v>3451.17</v>
      </c>
      <c r="D34" s="604">
        <v>3414.94</v>
      </c>
      <c r="E34" s="604">
        <v>3511.03</v>
      </c>
      <c r="F34" s="604">
        <v>471.35</v>
      </c>
    </row>
    <row r="35" spans="1:7" ht="12.75">
      <c r="A35" s="603">
        <v>53500</v>
      </c>
      <c r="B35" s="326" t="s">
        <v>713</v>
      </c>
      <c r="C35" s="604">
        <v>4378.5200000000004</v>
      </c>
      <c r="D35" s="604">
        <v>6419.44</v>
      </c>
      <c r="E35" s="604">
        <v>19798.7</v>
      </c>
      <c r="F35" s="604">
        <v>917.22</v>
      </c>
    </row>
    <row r="36" spans="1:7" ht="12.75">
      <c r="A36" s="603">
        <v>53600</v>
      </c>
      <c r="B36" s="326" t="s">
        <v>510</v>
      </c>
      <c r="C36" s="604">
        <v>1194.08</v>
      </c>
      <c r="D36" s="604">
        <v>8376.06</v>
      </c>
      <c r="E36" s="604">
        <v>8579.17</v>
      </c>
      <c r="F36" s="604">
        <v>668.23</v>
      </c>
    </row>
    <row r="37" spans="1:7" ht="12.75">
      <c r="A37" s="603">
        <v>53700</v>
      </c>
      <c r="B37" s="326" t="s">
        <v>165</v>
      </c>
      <c r="C37" s="604">
        <v>500</v>
      </c>
      <c r="D37" s="604">
        <v>1501</v>
      </c>
      <c r="E37" s="620">
        <v>144000</v>
      </c>
      <c r="F37" s="604">
        <v>66076.639999999999</v>
      </c>
    </row>
    <row r="38" spans="1:7" ht="12.75">
      <c r="A38" s="603">
        <v>53800</v>
      </c>
      <c r="B38" s="326" t="s">
        <v>166</v>
      </c>
      <c r="C38" s="604">
        <v>17634.04</v>
      </c>
      <c r="D38" s="604">
        <v>60272.93</v>
      </c>
      <c r="E38" s="604">
        <v>71998.42</v>
      </c>
      <c r="F38" s="604">
        <v>14523.93</v>
      </c>
    </row>
    <row r="39" spans="1:7" ht="12.75">
      <c r="A39" s="603">
        <v>53900</v>
      </c>
      <c r="B39" s="326" t="s">
        <v>714</v>
      </c>
      <c r="C39" s="604">
        <v>9760.23</v>
      </c>
      <c r="D39" s="604">
        <v>28240.89</v>
      </c>
      <c r="E39" s="604">
        <v>12549.19</v>
      </c>
      <c r="F39" s="604">
        <v>5199.79</v>
      </c>
    </row>
    <row r="40" spans="1:7" ht="12.75">
      <c r="A40" s="603">
        <v>54000</v>
      </c>
      <c r="B40" s="326" t="s">
        <v>148</v>
      </c>
      <c r="C40" s="604">
        <v>92736.48</v>
      </c>
      <c r="D40" s="604">
        <v>158060.25</v>
      </c>
      <c r="E40" s="604">
        <v>228351.34</v>
      </c>
      <c r="F40" s="604">
        <v>91676.18</v>
      </c>
    </row>
    <row r="41" spans="1:7" ht="12.75">
      <c r="A41" s="603">
        <v>55000</v>
      </c>
      <c r="B41" s="326" t="s">
        <v>145</v>
      </c>
      <c r="C41" s="604">
        <v>20703.34</v>
      </c>
      <c r="D41" s="604">
        <v>26373.97</v>
      </c>
      <c r="E41" s="604">
        <v>36161.54</v>
      </c>
      <c r="F41" s="604">
        <v>9697.69</v>
      </c>
    </row>
    <row r="42" spans="1:7" ht="12.75">
      <c r="A42" s="603">
        <v>57000</v>
      </c>
      <c r="B42" s="326" t="s">
        <v>715</v>
      </c>
      <c r="C42" s="604">
        <v>13027.49</v>
      </c>
      <c r="D42" s="604">
        <v>7909.24</v>
      </c>
      <c r="E42" s="620">
        <v>11161.5</v>
      </c>
      <c r="F42" s="604">
        <v>1269.97</v>
      </c>
    </row>
    <row r="43" spans="1:7" ht="12.75">
      <c r="A43" s="603">
        <v>58000</v>
      </c>
      <c r="B43" s="599" t="s">
        <v>716</v>
      </c>
      <c r="C43" s="604">
        <v>39903.949999999997</v>
      </c>
      <c r="D43" s="604">
        <v>73438.320000000007</v>
      </c>
      <c r="E43" s="604">
        <v>88418.76</v>
      </c>
      <c r="F43" s="604">
        <v>15784.12</v>
      </c>
    </row>
    <row r="44" spans="1:7" ht="12.75">
      <c r="A44" s="603">
        <v>59000</v>
      </c>
      <c r="B44" s="326" t="s">
        <v>717</v>
      </c>
      <c r="C44" s="604">
        <v>41123.129999999997</v>
      </c>
      <c r="D44" s="604">
        <v>65102.82</v>
      </c>
      <c r="E44" s="604">
        <v>87171.199999999997</v>
      </c>
      <c r="F44" s="604">
        <v>14059.48</v>
      </c>
    </row>
    <row r="45" spans="1:7" ht="12.75">
      <c r="A45" s="599"/>
      <c r="B45" s="599"/>
      <c r="C45" s="607">
        <f t="shared" ref="C45:F45" si="3">SUM(C27:C44)</f>
        <v>2044713.15</v>
      </c>
      <c r="D45" s="607">
        <f t="shared" si="3"/>
        <v>2785697.1300000004</v>
      </c>
      <c r="E45" s="607">
        <f t="shared" si="3"/>
        <v>3934035.9</v>
      </c>
      <c r="F45" s="607">
        <f t="shared" si="3"/>
        <v>823390.14</v>
      </c>
    </row>
    <row r="47" spans="1:7" ht="15.75" customHeight="1">
      <c r="B47" s="523" t="s">
        <v>592</v>
      </c>
      <c r="C47" s="619">
        <f>C20-C45</f>
        <v>192671.70999999996</v>
      </c>
      <c r="D47" s="619">
        <f>D20-D45</f>
        <v>-181570.88000000082</v>
      </c>
      <c r="E47" s="619">
        <f>E20-E45</f>
        <v>-341662.31999999983</v>
      </c>
      <c r="F47" s="619">
        <f>F20-F45</f>
        <v>-341042.027</v>
      </c>
    </row>
    <row r="48" spans="1:7" ht="15.75" customHeight="1">
      <c r="B48" s="621" t="s">
        <v>718</v>
      </c>
      <c r="C48" s="622">
        <f>(C20-C2-C3-C4)-C45</f>
        <v>-1078392.6500000001</v>
      </c>
      <c r="D48" s="622">
        <f>(D20-D2-D3-D4)-D45</f>
        <v>-1171727.5100000007</v>
      </c>
      <c r="E48" s="622">
        <f>(E20-E2-E3-E4)-E45</f>
        <v>-1271292.4699999997</v>
      </c>
      <c r="F48" s="622">
        <f>(F20-F2-F3-F4)-F45</f>
        <v>-494538.59700000001</v>
      </c>
      <c r="G48" s="623" t="s">
        <v>719</v>
      </c>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B1:G43"/>
  <sheetViews>
    <sheetView showGridLines="0" topLeftCell="A20" zoomScaleNormal="100" zoomScaleSheetLayoutView="100" workbookViewId="0">
      <selection activeCell="J34" sqref="J34"/>
    </sheetView>
  </sheetViews>
  <sheetFormatPr defaultColWidth="8.7109375" defaultRowHeight="15"/>
  <cols>
    <col min="2" max="3" width="4.7109375" customWidth="1"/>
    <col min="4" max="4" width="40.7109375" customWidth="1"/>
    <col min="5" max="5" width="40.28515625" customWidth="1"/>
    <col min="6" max="7" width="4.7109375" customWidth="1"/>
  </cols>
  <sheetData>
    <row r="1" spans="2:7" ht="15.75" thickBot="1"/>
    <row r="2" spans="2:7">
      <c r="B2" s="5"/>
      <c r="C2" s="6"/>
      <c r="D2" s="749"/>
      <c r="E2" s="749"/>
      <c r="F2" s="6"/>
      <c r="G2" s="7"/>
    </row>
    <row r="3" spans="2:7">
      <c r="B3" s="8"/>
      <c r="D3" s="750"/>
      <c r="E3" s="750"/>
      <c r="G3" s="9"/>
    </row>
    <row r="4" spans="2:7">
      <c r="B4" s="8"/>
      <c r="D4" s="750"/>
      <c r="E4" s="750"/>
      <c r="G4" s="9"/>
    </row>
    <row r="5" spans="2:7" ht="17.850000000000001" customHeight="1">
      <c r="B5" s="8"/>
      <c r="D5" s="750"/>
      <c r="E5" s="750"/>
      <c r="G5" s="9"/>
    </row>
    <row r="6" spans="2:7" ht="18.75">
      <c r="B6" s="8"/>
      <c r="D6" s="756" t="s">
        <v>14</v>
      </c>
      <c r="E6" s="756"/>
      <c r="G6" s="9"/>
    </row>
    <row r="7" spans="2:7" ht="18.75">
      <c r="B7" s="8"/>
      <c r="D7" s="756" t="s">
        <v>15</v>
      </c>
      <c r="E7" s="756"/>
      <c r="F7" s="10"/>
      <c r="G7" s="9"/>
    </row>
    <row r="8" spans="2:7">
      <c r="B8" s="8"/>
      <c r="F8" s="11"/>
      <c r="G8" s="9"/>
    </row>
    <row r="9" spans="2:7">
      <c r="B9" s="8"/>
      <c r="D9" s="751" t="s">
        <v>16</v>
      </c>
      <c r="E9" s="752"/>
      <c r="G9" s="9"/>
    </row>
    <row r="10" spans="2:7">
      <c r="B10" s="8"/>
      <c r="G10" s="9"/>
    </row>
    <row r="11" spans="2:7" ht="30">
      <c r="B11" s="8"/>
      <c r="D11" s="12" t="s">
        <v>17</v>
      </c>
      <c r="E11" s="13" t="s">
        <v>18</v>
      </c>
      <c r="F11" s="14"/>
      <c r="G11" s="9"/>
    </row>
    <row r="12" spans="2:7" ht="30">
      <c r="B12" s="8"/>
      <c r="D12" s="12" t="s">
        <v>19</v>
      </c>
      <c r="E12" s="13" t="s">
        <v>20</v>
      </c>
      <c r="F12" s="14"/>
      <c r="G12" s="9"/>
    </row>
    <row r="13" spans="2:7" ht="30">
      <c r="B13" s="8"/>
      <c r="D13" s="15" t="s">
        <v>21</v>
      </c>
      <c r="E13" s="13" t="s">
        <v>22</v>
      </c>
      <c r="F13" s="14"/>
      <c r="G13" s="9"/>
    </row>
    <row r="14" spans="2:7" ht="30">
      <c r="B14" s="8"/>
      <c r="D14" s="12" t="s">
        <v>23</v>
      </c>
      <c r="E14" s="13" t="s">
        <v>24</v>
      </c>
      <c r="F14" s="14"/>
      <c r="G14" s="9"/>
    </row>
    <row r="15" spans="2:7" ht="30">
      <c r="B15" s="8"/>
      <c r="D15" s="12" t="s">
        <v>25</v>
      </c>
      <c r="E15" s="13" t="s">
        <v>26</v>
      </c>
      <c r="F15" s="14"/>
      <c r="G15" s="9"/>
    </row>
    <row r="16" spans="2:7" ht="30">
      <c r="B16" s="8"/>
      <c r="D16" s="12" t="s">
        <v>27</v>
      </c>
      <c r="E16" s="13" t="s">
        <v>28</v>
      </c>
      <c r="F16" s="14"/>
      <c r="G16" s="9"/>
    </row>
    <row r="17" spans="2:7" ht="30">
      <c r="B17" s="8"/>
      <c r="D17" s="12" t="s">
        <v>29</v>
      </c>
      <c r="E17" s="13" t="s">
        <v>30</v>
      </c>
      <c r="F17" s="14"/>
      <c r="G17" s="9"/>
    </row>
    <row r="18" spans="2:7" ht="30">
      <c r="B18" s="8"/>
      <c r="D18" s="12" t="s">
        <v>31</v>
      </c>
      <c r="E18" s="13" t="s">
        <v>32</v>
      </c>
      <c r="F18" s="14"/>
      <c r="G18" s="9"/>
    </row>
    <row r="19" spans="2:7" ht="30">
      <c r="B19" s="8"/>
      <c r="D19" s="12" t="s">
        <v>33</v>
      </c>
      <c r="E19" s="13" t="s">
        <v>34</v>
      </c>
      <c r="F19" s="14"/>
      <c r="G19" s="9"/>
    </row>
    <row r="20" spans="2:7">
      <c r="B20" s="8"/>
      <c r="G20" s="9"/>
    </row>
    <row r="21" spans="2:7">
      <c r="B21" s="8"/>
      <c r="D21" s="751" t="s">
        <v>35</v>
      </c>
      <c r="E21" s="752"/>
      <c r="F21" s="11"/>
      <c r="G21" s="9"/>
    </row>
    <row r="22" spans="2:7" ht="15.75" thickBot="1">
      <c r="B22" s="8"/>
      <c r="G22" s="9"/>
    </row>
    <row r="23" spans="2:7" ht="15.75" thickBot="1">
      <c r="B23" s="8"/>
      <c r="C23" s="16"/>
      <c r="D23" s="755" t="s">
        <v>36</v>
      </c>
      <c r="E23" s="750"/>
      <c r="G23" s="9"/>
    </row>
    <row r="24" spans="2:7" ht="6.75" customHeight="1" thickBot="1">
      <c r="B24" s="8"/>
      <c r="G24" s="9"/>
    </row>
    <row r="25" spans="2:7" ht="15.75" thickBot="1">
      <c r="B25" s="8"/>
      <c r="C25" s="96"/>
      <c r="D25" s="755" t="s">
        <v>37</v>
      </c>
      <c r="E25" s="750"/>
      <c r="G25" s="9"/>
    </row>
    <row r="26" spans="2:7" ht="6.75" customHeight="1" thickBot="1">
      <c r="B26" s="8"/>
      <c r="G26" s="9"/>
    </row>
    <row r="27" spans="2:7" ht="15.75" thickBot="1">
      <c r="B27" s="8"/>
      <c r="C27" s="17"/>
      <c r="D27" s="755" t="s">
        <v>38</v>
      </c>
      <c r="E27" s="750"/>
      <c r="G27" s="9"/>
    </row>
    <row r="28" spans="2:7" ht="7.5" customHeight="1" thickBot="1">
      <c r="B28" s="8"/>
      <c r="G28" s="9"/>
    </row>
    <row r="29" spans="2:7" ht="15.75" thickBot="1">
      <c r="B29" s="8"/>
      <c r="C29" s="18"/>
      <c r="D29" s="755" t="s">
        <v>39</v>
      </c>
      <c r="E29" s="750"/>
      <c r="G29" s="9"/>
    </row>
    <row r="30" spans="2:7">
      <c r="B30" s="8"/>
      <c r="G30" s="9"/>
    </row>
    <row r="31" spans="2:7">
      <c r="B31" s="8"/>
      <c r="D31" s="757" t="s">
        <v>40</v>
      </c>
      <c r="E31" s="750"/>
      <c r="G31" s="9"/>
    </row>
    <row r="32" spans="2:7">
      <c r="B32" s="8"/>
      <c r="D32" s="750"/>
      <c r="E32" s="750"/>
      <c r="G32" s="9"/>
    </row>
    <row r="33" spans="2:7">
      <c r="B33" s="8"/>
      <c r="D33" s="754"/>
      <c r="E33" s="754"/>
      <c r="G33" s="9"/>
    </row>
    <row r="34" spans="2:7">
      <c r="B34" s="8"/>
      <c r="G34" s="9"/>
    </row>
    <row r="35" spans="2:7">
      <c r="B35" s="8"/>
      <c r="D35" s="753" t="s">
        <v>41</v>
      </c>
      <c r="E35" s="753"/>
      <c r="G35" s="9"/>
    </row>
    <row r="36" spans="2:7">
      <c r="B36" s="8"/>
      <c r="D36" s="19"/>
      <c r="E36" s="19"/>
      <c r="G36" s="9"/>
    </row>
    <row r="37" spans="2:7">
      <c r="B37" s="8"/>
      <c r="D37" s="754"/>
      <c r="E37" s="754"/>
      <c r="G37" s="9"/>
    </row>
    <row r="38" spans="2:7">
      <c r="B38" s="8"/>
      <c r="D38" s="754"/>
      <c r="E38" s="754"/>
      <c r="G38" s="9"/>
    </row>
    <row r="39" spans="2:7" ht="18.75" customHeight="1">
      <c r="B39" s="8"/>
      <c r="D39" s="754"/>
      <c r="E39" s="754"/>
      <c r="G39" s="9"/>
    </row>
    <row r="40" spans="2:7">
      <c r="B40" s="8"/>
      <c r="G40" s="9"/>
    </row>
    <row r="41" spans="2:7">
      <c r="B41" s="8"/>
      <c r="G41" s="9"/>
    </row>
    <row r="42" spans="2:7">
      <c r="B42" s="8"/>
      <c r="G42" s="9"/>
    </row>
    <row r="43" spans="2:7" ht="15.75" thickBot="1">
      <c r="B43" s="20"/>
      <c r="C43" s="21"/>
      <c r="D43" s="21"/>
      <c r="E43" s="21" t="s">
        <v>275</v>
      </c>
      <c r="F43" s="21"/>
      <c r="G43" s="22"/>
    </row>
  </sheetData>
  <mergeCells count="12">
    <mergeCell ref="D2:E5"/>
    <mergeCell ref="D9:E9"/>
    <mergeCell ref="D35:E35"/>
    <mergeCell ref="D37:E39"/>
    <mergeCell ref="D27:E27"/>
    <mergeCell ref="D29:E29"/>
    <mergeCell ref="D6:E6"/>
    <mergeCell ref="D7:E7"/>
    <mergeCell ref="D21:E21"/>
    <mergeCell ref="D23:E23"/>
    <mergeCell ref="D25:E25"/>
    <mergeCell ref="D31:E33"/>
  </mergeCells>
  <hyperlinks>
    <hyperlink ref="D11" location="'1) Proposed School Information'!A1" display="1) Proposed School Information" xr:uid="{00000000-0004-0000-0100-000000000000}"/>
    <hyperlink ref="D12" location="'2) Student Assumptions'!A1" display="2) Student Assumptions" xr:uid="{00000000-0004-0000-0100-000001000000}"/>
    <hyperlink ref="D16" location="'6) Year 1 Budget'!A1" display="6) Year 1 Budget" xr:uid="{00000000-0004-0000-0100-000002000000}"/>
    <hyperlink ref="D13" location="'3) Pre-Opening Budget'!A1" display="3) Pre-Opening Budget" xr:uid="{00000000-0004-0000-0100-000003000000}"/>
    <hyperlink ref="D14" location="'4) Pre-Opening Cash Flow'!A1" display="4) Pre-Opening Cash Flow" xr:uid="{00000000-0004-0000-0100-000004000000}"/>
    <hyperlink ref="D17" location="'7) Year 1 Cash Flow'!A1" display="7) Year 1 Cash Flow" xr:uid="{00000000-0004-0000-0100-000005000000}"/>
    <hyperlink ref="D18" location="'8) Year 2 through 10 Budget'!A1" display="8) Years 2 through 10 Budget" xr:uid="{00000000-0004-0000-0100-000006000000}"/>
    <hyperlink ref="D15" location="'5) Year 1-10 Staff Assumptions'!A1" display="5) Years 1-10 Staff Assumptions" xr:uid="{00000000-0004-0000-0100-000007000000}"/>
    <hyperlink ref="D19" location="'9) Summary'!A1" display="9) Summary" xr:uid="{00000000-0004-0000-0100-000008000000}"/>
  </hyperlinks>
  <pageMargins left="0.7" right="0.7" top="0.75" bottom="0.75" header="0.3" footer="0.3"/>
  <pageSetup scale="77" orientation="portrait" r:id="rId1"/>
  <headerFooter>
    <oddFooter>&amp;L&amp;A&amp;RPage &amp;P of &amp;N</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1:P27"/>
  <sheetViews>
    <sheetView showGridLines="0" zoomScale="70" zoomScaleNormal="70" workbookViewId="0">
      <selection activeCell="V25" sqref="V25"/>
    </sheetView>
  </sheetViews>
  <sheetFormatPr defaultColWidth="8.7109375" defaultRowHeight="15"/>
  <cols>
    <col min="2" max="3" width="4.7109375" customWidth="1"/>
    <col min="4" max="4" width="32.85546875" customWidth="1"/>
    <col min="5" max="14" width="6.7109375" customWidth="1"/>
    <col min="15" max="16" width="4.7109375" customWidth="1"/>
  </cols>
  <sheetData>
    <row r="1" spans="2:16" ht="15.75" thickBot="1"/>
    <row r="2" spans="2:16">
      <c r="B2" s="5"/>
      <c r="C2" s="6"/>
      <c r="D2" s="6"/>
      <c r="E2" s="6"/>
      <c r="F2" s="6"/>
      <c r="G2" s="6"/>
      <c r="H2" s="6"/>
      <c r="I2" s="6"/>
      <c r="J2" s="6"/>
      <c r="K2" s="6"/>
      <c r="L2" s="6"/>
      <c r="M2" s="6"/>
      <c r="N2" s="6"/>
      <c r="O2" s="6"/>
      <c r="P2" s="7"/>
    </row>
    <row r="3" spans="2:16">
      <c r="B3" s="8"/>
      <c r="P3" s="9"/>
    </row>
    <row r="4" spans="2:16">
      <c r="B4" s="8"/>
      <c r="P4" s="9"/>
    </row>
    <row r="5" spans="2:16">
      <c r="B5" s="8"/>
      <c r="P5" s="9"/>
    </row>
    <row r="6" spans="2:16" ht="18.75">
      <c r="B6" s="8"/>
      <c r="D6" s="756" t="str">
        <f>IF(E12="","ENTER SCHOOL NAME BELOW",E12)</f>
        <v>Knoxville Prep</v>
      </c>
      <c r="E6" s="756"/>
      <c r="F6" s="754"/>
      <c r="G6" s="754"/>
      <c r="H6" s="754"/>
      <c r="I6" s="754"/>
      <c r="J6" s="754"/>
      <c r="K6" s="754"/>
      <c r="L6" s="754"/>
      <c r="M6" s="754"/>
      <c r="N6" s="754"/>
      <c r="P6" s="9"/>
    </row>
    <row r="7" spans="2:16" ht="18.75">
      <c r="B7" s="8"/>
      <c r="D7" s="756" t="s">
        <v>260</v>
      </c>
      <c r="E7" s="756"/>
      <c r="F7" s="753"/>
      <c r="G7" s="753"/>
      <c r="H7" s="753"/>
      <c r="I7" s="753"/>
      <c r="J7" s="753"/>
      <c r="K7" s="753"/>
      <c r="L7" s="753"/>
      <c r="M7" s="753"/>
      <c r="N7" s="753"/>
      <c r="O7" s="10"/>
      <c r="P7" s="9"/>
    </row>
    <row r="8" spans="2:16" ht="18.75">
      <c r="B8" s="8"/>
      <c r="D8" s="756" t="s">
        <v>261</v>
      </c>
      <c r="E8" s="756"/>
      <c r="F8" s="754"/>
      <c r="G8" s="754"/>
      <c r="H8" s="754"/>
      <c r="I8" s="754"/>
      <c r="J8" s="754"/>
      <c r="K8" s="754"/>
      <c r="L8" s="754"/>
      <c r="M8" s="754"/>
      <c r="N8" s="754"/>
      <c r="P8" s="9"/>
    </row>
    <row r="9" spans="2:16">
      <c r="B9" s="8"/>
      <c r="D9" s="751"/>
      <c r="E9" s="752"/>
      <c r="F9" s="754"/>
      <c r="G9" s="754"/>
      <c r="H9" s="754"/>
      <c r="I9" s="754"/>
      <c r="J9" s="754"/>
      <c r="K9" s="754"/>
      <c r="L9" s="754"/>
      <c r="M9" s="754"/>
      <c r="N9" s="754"/>
      <c r="P9" s="9"/>
    </row>
    <row r="10" spans="2:16">
      <c r="B10" s="8"/>
      <c r="P10" s="9"/>
    </row>
    <row r="11" spans="2:16">
      <c r="B11" s="8"/>
      <c r="P11" s="9"/>
    </row>
    <row r="12" spans="2:16">
      <c r="B12" s="8"/>
      <c r="D12" t="s">
        <v>262</v>
      </c>
      <c r="E12" s="758" t="s">
        <v>722</v>
      </c>
      <c r="F12" s="759"/>
      <c r="G12" s="759"/>
      <c r="H12" s="759"/>
      <c r="I12" s="759"/>
      <c r="J12" s="759"/>
      <c r="K12" s="759"/>
      <c r="L12" s="759"/>
      <c r="M12" s="759"/>
      <c r="N12" s="759"/>
      <c r="O12" s="14"/>
      <c r="P12" s="9"/>
    </row>
    <row r="13" spans="2:16">
      <c r="B13" s="8"/>
      <c r="D13" t="s">
        <v>263</v>
      </c>
      <c r="E13" s="758" t="s">
        <v>723</v>
      </c>
      <c r="F13" s="759"/>
      <c r="G13" s="759"/>
      <c r="H13" s="759"/>
      <c r="I13" s="759"/>
      <c r="J13" s="759"/>
      <c r="K13" s="759"/>
      <c r="L13" s="759"/>
      <c r="M13" s="759"/>
      <c r="N13" s="759"/>
      <c r="O13" s="14"/>
      <c r="P13" s="9"/>
    </row>
    <row r="14" spans="2:16">
      <c r="B14" s="8"/>
      <c r="D14" t="s">
        <v>264</v>
      </c>
      <c r="E14" s="763" t="s">
        <v>724</v>
      </c>
      <c r="F14" s="764"/>
      <c r="G14" s="764"/>
      <c r="H14" s="764"/>
      <c r="I14" s="764"/>
      <c r="J14" s="764"/>
      <c r="K14" s="764"/>
      <c r="L14" s="764"/>
      <c r="M14" s="764"/>
      <c r="N14" s="764"/>
      <c r="O14" s="14"/>
      <c r="P14" s="9"/>
    </row>
    <row r="15" spans="2:16">
      <c r="B15" s="8"/>
      <c r="D15" t="s">
        <v>265</v>
      </c>
      <c r="E15" s="758" t="s">
        <v>725</v>
      </c>
      <c r="F15" s="759"/>
      <c r="G15" s="759"/>
      <c r="H15" s="759"/>
      <c r="I15" s="759"/>
      <c r="J15" s="759"/>
      <c r="K15" s="759"/>
      <c r="L15" s="759"/>
      <c r="M15" s="759"/>
      <c r="N15" s="759"/>
      <c r="O15" s="14"/>
      <c r="P15" s="9"/>
    </row>
    <row r="16" spans="2:16">
      <c r="B16" s="8"/>
      <c r="D16" t="s">
        <v>266</v>
      </c>
      <c r="E16" s="758" t="s">
        <v>728</v>
      </c>
      <c r="F16" s="765"/>
      <c r="G16" s="765"/>
      <c r="H16" s="765"/>
      <c r="I16" s="765"/>
      <c r="J16" s="765"/>
      <c r="K16" s="765"/>
      <c r="L16" s="765"/>
      <c r="M16" s="765"/>
      <c r="N16" s="765"/>
      <c r="O16" s="14"/>
      <c r="P16" s="9"/>
    </row>
    <row r="17" spans="2:16">
      <c r="B17" s="8"/>
      <c r="E17" s="14"/>
      <c r="F17" s="14"/>
      <c r="G17" s="14"/>
      <c r="H17" s="14"/>
      <c r="I17" s="14"/>
      <c r="J17" s="14"/>
      <c r="K17" s="14"/>
      <c r="L17" s="14"/>
      <c r="M17" s="14"/>
      <c r="N17" s="14"/>
      <c r="O17" s="14"/>
      <c r="P17" s="9"/>
    </row>
    <row r="18" spans="2:16">
      <c r="B18" s="8"/>
      <c r="D18" t="s">
        <v>267</v>
      </c>
      <c r="E18" s="758" t="s">
        <v>723</v>
      </c>
      <c r="F18" s="759"/>
      <c r="G18" s="759"/>
      <c r="H18" s="759"/>
      <c r="I18" s="759"/>
      <c r="J18" s="759"/>
      <c r="K18" s="759"/>
      <c r="L18" s="759"/>
      <c r="M18" s="759"/>
      <c r="N18" s="759"/>
      <c r="O18" s="14"/>
      <c r="P18" s="9"/>
    </row>
    <row r="19" spans="2:16">
      <c r="B19" s="8"/>
      <c r="D19" t="s">
        <v>268</v>
      </c>
      <c r="E19" s="758" t="s">
        <v>726</v>
      </c>
      <c r="F19" s="759"/>
      <c r="G19" s="759"/>
      <c r="H19" s="759"/>
      <c r="I19" s="759"/>
      <c r="J19" s="759"/>
      <c r="K19" s="759"/>
      <c r="L19" s="759"/>
      <c r="M19" s="759"/>
      <c r="N19" s="759"/>
      <c r="O19" s="14"/>
      <c r="P19" s="9"/>
    </row>
    <row r="20" spans="2:16">
      <c r="B20" s="8"/>
      <c r="D20" t="s">
        <v>269</v>
      </c>
      <c r="E20" s="758" t="s">
        <v>727</v>
      </c>
      <c r="F20" s="759"/>
      <c r="G20" s="759"/>
      <c r="H20" s="759"/>
      <c r="I20" s="759"/>
      <c r="J20" s="759"/>
      <c r="K20" s="759"/>
      <c r="L20" s="759"/>
      <c r="M20" s="759"/>
      <c r="N20" s="759"/>
      <c r="O20" s="14"/>
      <c r="P20" s="9"/>
    </row>
    <row r="21" spans="2:16">
      <c r="B21" s="8"/>
      <c r="D21" t="s">
        <v>270</v>
      </c>
      <c r="E21" s="760" t="s">
        <v>4</v>
      </c>
      <c r="F21" s="761"/>
      <c r="G21" s="761"/>
      <c r="H21" s="761"/>
      <c r="I21" s="761"/>
      <c r="J21" s="761"/>
      <c r="K21" s="761"/>
      <c r="L21" s="761"/>
      <c r="M21" s="761"/>
      <c r="N21" s="761"/>
      <c r="O21" s="14"/>
      <c r="P21" s="9"/>
    </row>
    <row r="22" spans="2:16">
      <c r="B22" s="8"/>
      <c r="O22" s="14"/>
      <c r="P22" s="9"/>
    </row>
    <row r="23" spans="2:16">
      <c r="B23" s="8"/>
      <c r="E23" s="70" t="s">
        <v>42</v>
      </c>
      <c r="F23" s="70" t="s">
        <v>43</v>
      </c>
      <c r="G23" s="70" t="s">
        <v>44</v>
      </c>
      <c r="H23" s="70" t="s">
        <v>45</v>
      </c>
      <c r="I23" s="70" t="s">
        <v>46</v>
      </c>
      <c r="J23" s="70"/>
      <c r="K23" s="70"/>
      <c r="L23" s="70"/>
      <c r="M23" s="70"/>
      <c r="N23" s="70"/>
      <c r="O23" s="14"/>
      <c r="P23" s="9"/>
    </row>
    <row r="24" spans="2:16">
      <c r="B24" s="8"/>
      <c r="D24" t="s">
        <v>271</v>
      </c>
      <c r="E24" s="161">
        <f>'2) Student Assumptions'!E29</f>
        <v>105</v>
      </c>
      <c r="F24" s="161">
        <f>'2) Student Assumptions'!F29</f>
        <v>207</v>
      </c>
      <c r="G24" s="161">
        <f>'2) Student Assumptions'!G29</f>
        <v>306</v>
      </c>
      <c r="H24" s="161">
        <f>'2) Student Assumptions'!H29</f>
        <v>409</v>
      </c>
      <c r="I24" s="161">
        <f>'2) Student Assumptions'!I29</f>
        <v>509</v>
      </c>
      <c r="J24" s="19"/>
      <c r="K24" s="19"/>
      <c r="L24" s="19"/>
      <c r="M24" s="19"/>
      <c r="N24" s="19"/>
      <c r="P24" s="9"/>
    </row>
    <row r="25" spans="2:16" ht="14.85" customHeight="1">
      <c r="B25" s="8"/>
      <c r="E25" s="751" t="s">
        <v>272</v>
      </c>
      <c r="F25" s="752"/>
      <c r="G25" s="762"/>
      <c r="H25" s="762"/>
      <c r="I25" s="762"/>
      <c r="J25" s="762"/>
      <c r="K25" s="762"/>
      <c r="L25" s="762"/>
      <c r="M25" s="762"/>
      <c r="N25" s="762"/>
      <c r="P25" s="9"/>
    </row>
    <row r="26" spans="2:16">
      <c r="B26" s="8"/>
      <c r="P26" s="9"/>
    </row>
    <row r="27" spans="2:16" ht="15.75" thickBot="1">
      <c r="B27" s="20"/>
      <c r="C27" s="21"/>
      <c r="D27" s="21"/>
      <c r="E27" s="21"/>
      <c r="F27" s="21"/>
      <c r="G27" s="21"/>
      <c r="H27" s="21"/>
      <c r="I27" s="21"/>
      <c r="J27" s="21"/>
      <c r="K27" s="21"/>
      <c r="L27" s="21"/>
      <c r="M27" s="21"/>
      <c r="N27" s="21"/>
      <c r="O27" s="21"/>
      <c r="P27" s="22"/>
    </row>
  </sheetData>
  <mergeCells count="14">
    <mergeCell ref="E13:N13"/>
    <mergeCell ref="E14:N14"/>
    <mergeCell ref="E15:N15"/>
    <mergeCell ref="E16:N16"/>
    <mergeCell ref="D6:N6"/>
    <mergeCell ref="D7:N7"/>
    <mergeCell ref="D8:N8"/>
    <mergeCell ref="D9:N9"/>
    <mergeCell ref="E12:N12"/>
    <mergeCell ref="E18:N18"/>
    <mergeCell ref="E19:N19"/>
    <mergeCell ref="E20:N20"/>
    <mergeCell ref="E21:N21"/>
    <mergeCell ref="E25:N25"/>
  </mergeCells>
  <hyperlinks>
    <hyperlink ref="E14" r:id="rId1" xr:uid="{2AA4CA56-E31A-4644-8A75-4A4931C03F5A}"/>
  </hyperlinks>
  <pageMargins left="0.7" right="0.7" top="0.75" bottom="0.75" header="0.3" footer="0.3"/>
  <pageSetup scale="77"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95AAFE9A-A80A-4E6C-B82F-A262CEBD0FFE}">
          <x14:formula1>
            <xm:f>Source!$A$6:$L$6</xm:f>
          </x14:formula1>
          <xm:sqref>E21:N21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B1:V80"/>
  <sheetViews>
    <sheetView showGridLines="0" zoomScale="75" zoomScaleNormal="75" zoomScaleSheetLayoutView="100" workbookViewId="0">
      <selection activeCell="B2" sqref="B2:P78"/>
    </sheetView>
  </sheetViews>
  <sheetFormatPr defaultColWidth="8.7109375" defaultRowHeight="15"/>
  <cols>
    <col min="2" max="2" width="28.42578125" customWidth="1"/>
    <col min="3" max="3" width="3" customWidth="1"/>
    <col min="4" max="4" width="3.28515625" customWidth="1"/>
    <col min="5" max="9" width="11.140625" customWidth="1"/>
    <col min="10" max="10" width="9.7109375" customWidth="1"/>
    <col min="11" max="14" width="9.7109375" hidden="1" customWidth="1"/>
    <col min="15" max="15" width="4.7109375" hidden="1" customWidth="1"/>
    <col min="16" max="17" width="4.7109375" customWidth="1"/>
  </cols>
  <sheetData>
    <row r="1" spans="2:16" ht="15.75" thickBot="1"/>
    <row r="2" spans="2:16">
      <c r="B2" s="5"/>
      <c r="C2" s="6"/>
      <c r="D2" s="6"/>
      <c r="E2" s="6"/>
      <c r="F2" s="6"/>
      <c r="G2" s="6"/>
      <c r="H2" s="6"/>
      <c r="I2" s="6"/>
      <c r="J2" s="6"/>
      <c r="K2" s="6"/>
      <c r="L2" s="6"/>
      <c r="M2" s="6"/>
      <c r="N2" s="6"/>
      <c r="O2" s="6"/>
      <c r="P2" s="7"/>
    </row>
    <row r="3" spans="2:16" ht="18.75">
      <c r="B3" s="8"/>
      <c r="E3" s="756" t="str">
        <f>IF('1) Proposed School Information'!E12="","ENTER SCHOOL NAME ON PROPOSED SCHOOL INFO SHEET",'1) Proposed School Information'!E12)</f>
        <v>Knoxville Prep</v>
      </c>
      <c r="F3" s="756"/>
      <c r="G3" s="754"/>
      <c r="H3" s="754"/>
      <c r="I3" s="754"/>
      <c r="J3" s="754"/>
      <c r="K3" s="754"/>
      <c r="L3" s="754"/>
      <c r="M3" s="754"/>
      <c r="N3" s="754"/>
      <c r="P3" s="9"/>
    </row>
    <row r="4" spans="2:16" ht="18.75">
      <c r="B4" s="8"/>
      <c r="E4" s="756" t="s">
        <v>14</v>
      </c>
      <c r="F4" s="756"/>
      <c r="G4" s="754"/>
      <c r="H4" s="754"/>
      <c r="I4" s="754"/>
      <c r="J4" s="754"/>
      <c r="K4" s="754"/>
      <c r="L4" s="754"/>
      <c r="M4" s="754"/>
      <c r="N4" s="754"/>
      <c r="P4" s="9"/>
    </row>
    <row r="5" spans="2:16" ht="18.75">
      <c r="B5" s="8"/>
      <c r="E5" s="756" t="s">
        <v>47</v>
      </c>
      <c r="F5" s="756"/>
      <c r="G5" s="754"/>
      <c r="H5" s="754"/>
      <c r="I5" s="754"/>
      <c r="J5" s="754"/>
      <c r="K5" s="754"/>
      <c r="L5" s="754"/>
      <c r="M5" s="754"/>
      <c r="N5" s="754"/>
      <c r="P5" s="9"/>
    </row>
    <row r="6" spans="2:16">
      <c r="B6" s="8"/>
      <c r="P6" s="9"/>
    </row>
    <row r="7" spans="2:16">
      <c r="B7" s="8"/>
      <c r="P7" s="9"/>
    </row>
    <row r="8" spans="2:16">
      <c r="B8" s="8"/>
      <c r="E8" s="751" t="s">
        <v>48</v>
      </c>
      <c r="F8" s="752"/>
      <c r="G8" s="762"/>
      <c r="H8" s="762"/>
      <c r="I8" s="762"/>
      <c r="J8" s="762"/>
      <c r="K8" s="762"/>
      <c r="L8" s="762"/>
      <c r="M8" s="762"/>
      <c r="N8" s="762"/>
      <c r="P8" s="9"/>
    </row>
    <row r="9" spans="2:16">
      <c r="B9" s="8"/>
      <c r="P9" s="9"/>
    </row>
    <row r="10" spans="2:16">
      <c r="B10" s="24"/>
      <c r="C10" s="23"/>
      <c r="D10" s="1"/>
      <c r="E10" s="25" t="s">
        <v>42</v>
      </c>
      <c r="F10" s="25" t="s">
        <v>43</v>
      </c>
      <c r="G10" s="25" t="s">
        <v>44</v>
      </c>
      <c r="H10" s="25" t="s">
        <v>45</v>
      </c>
      <c r="I10" s="25" t="s">
        <v>46</v>
      </c>
      <c r="J10" s="41"/>
      <c r="K10" s="41"/>
      <c r="L10" s="41"/>
      <c r="M10" s="41"/>
      <c r="N10" s="41"/>
      <c r="P10" s="9"/>
    </row>
    <row r="11" spans="2:16">
      <c r="B11" s="24"/>
      <c r="C11" s="23"/>
      <c r="D11" s="1"/>
      <c r="E11" s="25" t="str">
        <f>IF('1) Proposed School Information'!E21="Select Year"," ",'1) Proposed School Information'!E21)</f>
        <v>2024-25</v>
      </c>
      <c r="F11" s="25" t="str">
        <f>IF(E11=" "," ",VLOOKUP(E11,Source!$A$8:$B$17,2,FALSE))</f>
        <v>2025-26</v>
      </c>
      <c r="G11" s="25" t="str">
        <f>IF(F11=" "," ",VLOOKUP(F11,Source!$A$8:$B$17,2,FALSE))</f>
        <v>2026-27</v>
      </c>
      <c r="H11" s="25" t="str">
        <f>IF(G11=" "," ",VLOOKUP(G11,Source!$A$8:$B$17,2,FALSE))</f>
        <v>2027-28</v>
      </c>
      <c r="I11" s="25" t="str">
        <f>IF(H11=" "," ",VLOOKUP(H11,Source!$A$8:$B$17,2,FALSE))</f>
        <v>2028-29</v>
      </c>
      <c r="J11" s="41"/>
      <c r="K11" s="41"/>
      <c r="L11" s="41"/>
      <c r="M11" s="41"/>
      <c r="N11" s="41"/>
      <c r="P11" s="9"/>
    </row>
    <row r="12" spans="2:16">
      <c r="B12" s="24"/>
      <c r="C12" s="23"/>
      <c r="D12" s="23"/>
      <c r="E12" s="26"/>
      <c r="F12" s="26"/>
      <c r="G12" s="26"/>
      <c r="H12" s="26"/>
      <c r="I12" s="26"/>
      <c r="J12" s="26"/>
      <c r="K12" s="26"/>
      <c r="L12" s="26"/>
      <c r="M12" s="26"/>
      <c r="N12" s="26"/>
      <c r="P12" s="9"/>
    </row>
    <row r="13" spans="2:16" ht="30">
      <c r="B13" s="27" t="s">
        <v>49</v>
      </c>
      <c r="C13" s="23"/>
      <c r="D13" s="23"/>
      <c r="E13" s="39"/>
      <c r="F13" s="39"/>
      <c r="G13" s="39"/>
      <c r="H13" s="39"/>
      <c r="I13" s="39"/>
      <c r="J13" s="102"/>
      <c r="K13" s="102"/>
      <c r="L13" s="102"/>
      <c r="M13" s="102"/>
      <c r="N13" s="102"/>
      <c r="P13" s="9"/>
    </row>
    <row r="14" spans="2:16">
      <c r="B14" s="24"/>
      <c r="C14" s="23"/>
      <c r="D14" s="23"/>
      <c r="E14" s="26"/>
      <c r="F14" s="26"/>
      <c r="G14" s="26"/>
      <c r="H14" s="26"/>
      <c r="I14" s="26"/>
      <c r="J14" s="26"/>
      <c r="K14" s="26"/>
      <c r="L14" s="26"/>
      <c r="M14" s="26"/>
      <c r="N14" s="26"/>
      <c r="P14" s="9"/>
    </row>
    <row r="15" spans="2:16">
      <c r="B15" s="24" t="s">
        <v>50</v>
      </c>
      <c r="C15" s="23"/>
      <c r="E15" s="39"/>
      <c r="F15" s="39"/>
      <c r="G15" s="39"/>
      <c r="H15" s="39"/>
      <c r="I15" s="39"/>
      <c r="J15" s="102"/>
      <c r="K15" s="102"/>
      <c r="L15" s="102"/>
      <c r="M15" s="102"/>
      <c r="N15" s="102"/>
      <c r="P15" s="9"/>
    </row>
    <row r="16" spans="2:16">
      <c r="B16" s="24" t="s">
        <v>51</v>
      </c>
      <c r="C16" s="23"/>
      <c r="E16" s="39"/>
      <c r="F16" s="39"/>
      <c r="G16" s="39"/>
      <c r="H16" s="39"/>
      <c r="I16" s="39"/>
      <c r="J16" s="102"/>
      <c r="K16" s="102"/>
      <c r="L16" s="102"/>
      <c r="M16" s="102"/>
      <c r="N16" s="102"/>
      <c r="P16" s="9"/>
    </row>
    <row r="17" spans="2:22">
      <c r="B17" s="24" t="s">
        <v>52</v>
      </c>
      <c r="C17" s="23"/>
      <c r="E17" s="39"/>
      <c r="F17" s="39"/>
      <c r="G17" s="39"/>
      <c r="H17" s="39"/>
      <c r="I17" s="39"/>
      <c r="J17" s="102"/>
      <c r="K17" s="102"/>
      <c r="L17" s="102"/>
      <c r="M17" s="102"/>
      <c r="N17" s="102"/>
      <c r="P17" s="9"/>
    </row>
    <row r="18" spans="2:22">
      <c r="B18" s="24" t="s">
        <v>53</v>
      </c>
      <c r="C18" s="23"/>
      <c r="E18" s="39"/>
      <c r="F18" s="39"/>
      <c r="G18" s="39"/>
      <c r="H18" s="39"/>
      <c r="I18" s="39"/>
      <c r="J18" s="102"/>
      <c r="K18" s="102"/>
      <c r="L18" s="102"/>
      <c r="M18" s="102"/>
      <c r="N18" s="102"/>
      <c r="P18" s="9"/>
    </row>
    <row r="19" spans="2:22">
      <c r="B19" s="24" t="s">
        <v>54</v>
      </c>
      <c r="C19" s="23"/>
      <c r="E19" s="39"/>
      <c r="F19" s="39"/>
      <c r="G19" s="39"/>
      <c r="H19" s="39"/>
      <c r="I19" s="39"/>
      <c r="J19" s="102"/>
      <c r="K19" s="102"/>
      <c r="L19" s="102"/>
      <c r="M19" s="102"/>
      <c r="N19" s="102"/>
      <c r="P19" s="9"/>
    </row>
    <row r="20" spans="2:22">
      <c r="B20" s="24" t="s">
        <v>55</v>
      </c>
      <c r="C20" s="23"/>
      <c r="E20" s="39"/>
      <c r="F20" s="39"/>
      <c r="G20" s="39"/>
      <c r="H20" s="39"/>
      <c r="I20" s="39"/>
      <c r="J20" s="102"/>
      <c r="K20" s="102"/>
      <c r="L20" s="102"/>
      <c r="M20" s="102"/>
      <c r="N20" s="102"/>
      <c r="P20" s="9"/>
    </row>
    <row r="21" spans="2:22">
      <c r="B21" s="24" t="s">
        <v>56</v>
      </c>
      <c r="C21" s="23"/>
      <c r="E21" s="39">
        <f>ENROLLMENT!I56</f>
        <v>105</v>
      </c>
      <c r="F21" s="39">
        <f>ENROLLMENT!J56</f>
        <v>105</v>
      </c>
      <c r="G21" s="39">
        <f>ENROLLMENT!K56</f>
        <v>105</v>
      </c>
      <c r="H21" s="39">
        <f>ENROLLMENT!L56</f>
        <v>105</v>
      </c>
      <c r="I21" s="39">
        <f>ENROLLMENT!M56</f>
        <v>105</v>
      </c>
      <c r="J21" s="102"/>
      <c r="K21" s="102"/>
      <c r="L21" s="102"/>
      <c r="M21" s="102"/>
      <c r="N21" s="102"/>
      <c r="P21" s="9"/>
    </row>
    <row r="22" spans="2:22">
      <c r="B22" s="24" t="s">
        <v>57</v>
      </c>
      <c r="C22" s="23"/>
      <c r="E22" s="39"/>
      <c r="F22" s="39">
        <f>ENROLLMENT!J57</f>
        <v>102</v>
      </c>
      <c r="G22" s="39">
        <f>ENROLLMENT!K57</f>
        <v>102</v>
      </c>
      <c r="H22" s="39">
        <f>ENROLLMENT!L57</f>
        <v>102</v>
      </c>
      <c r="I22" s="39">
        <f>ENROLLMENT!M57</f>
        <v>102</v>
      </c>
      <c r="J22" s="102"/>
      <c r="K22" s="102"/>
      <c r="L22" s="102"/>
      <c r="M22" s="102"/>
      <c r="N22" s="102"/>
      <c r="P22" s="9"/>
    </row>
    <row r="23" spans="2:22">
      <c r="B23" s="24" t="s">
        <v>58</v>
      </c>
      <c r="C23" s="23"/>
      <c r="E23" s="39"/>
      <c r="F23" s="39"/>
      <c r="G23" s="39">
        <f>ENROLLMENT!K58</f>
        <v>99</v>
      </c>
      <c r="H23" s="39">
        <f>ENROLLMENT!L58</f>
        <v>99</v>
      </c>
      <c r="I23" s="39">
        <f>ENROLLMENT!M58</f>
        <v>99</v>
      </c>
      <c r="J23" s="102"/>
      <c r="K23" s="102"/>
      <c r="L23" s="102"/>
      <c r="M23" s="102"/>
      <c r="N23" s="102"/>
      <c r="P23" s="9"/>
    </row>
    <row r="24" spans="2:22">
      <c r="B24" s="24" t="s">
        <v>59</v>
      </c>
      <c r="C24" s="23"/>
      <c r="E24" s="39"/>
      <c r="F24" s="39"/>
      <c r="G24" s="39"/>
      <c r="H24" s="39">
        <f>ENROLLMENT!L59</f>
        <v>103</v>
      </c>
      <c r="I24" s="39">
        <f>ENROLLMENT!M59</f>
        <v>103</v>
      </c>
      <c r="J24" s="102"/>
      <c r="K24" s="102"/>
      <c r="L24" s="102"/>
      <c r="M24" s="102"/>
      <c r="N24" s="102"/>
      <c r="P24" s="9"/>
    </row>
    <row r="25" spans="2:22">
      <c r="B25" s="24" t="s">
        <v>60</v>
      </c>
      <c r="C25" s="23"/>
      <c r="E25" s="39"/>
      <c r="F25" s="39"/>
      <c r="G25" s="39"/>
      <c r="H25" s="39"/>
      <c r="I25" s="39">
        <f>ENROLLMENT!M60</f>
        <v>100</v>
      </c>
      <c r="J25" s="102"/>
      <c r="K25" s="102"/>
      <c r="L25" s="102"/>
      <c r="M25" s="102"/>
      <c r="N25" s="102"/>
      <c r="P25" s="9"/>
    </row>
    <row r="26" spans="2:22">
      <c r="B26" s="24" t="s">
        <v>61</v>
      </c>
      <c r="C26" s="23"/>
      <c r="E26" s="39"/>
      <c r="F26" s="39"/>
      <c r="G26" s="39"/>
      <c r="H26" s="39"/>
      <c r="I26" s="39"/>
      <c r="J26" s="102"/>
      <c r="K26" s="102"/>
      <c r="L26" s="102"/>
      <c r="M26" s="102"/>
      <c r="N26" s="102"/>
      <c r="P26" s="9"/>
    </row>
    <row r="27" spans="2:22">
      <c r="B27" s="24" t="s">
        <v>62</v>
      </c>
      <c r="C27" s="23"/>
      <c r="E27" s="39"/>
      <c r="F27" s="39"/>
      <c r="G27" s="39"/>
      <c r="H27" s="39"/>
      <c r="I27" s="39"/>
      <c r="J27" s="102"/>
      <c r="K27" s="102"/>
      <c r="L27" s="102"/>
      <c r="M27" s="102"/>
      <c r="N27" s="102"/>
      <c r="P27" s="9"/>
    </row>
    <row r="28" spans="2:22">
      <c r="B28" s="24"/>
      <c r="C28" s="23"/>
      <c r="E28" s="28"/>
      <c r="F28" s="28"/>
      <c r="G28" s="28"/>
      <c r="H28" s="28"/>
      <c r="I28" s="28"/>
      <c r="J28" s="28"/>
      <c r="K28" s="28"/>
      <c r="L28" s="28"/>
      <c r="M28" s="28"/>
      <c r="N28" s="28"/>
      <c r="P28" s="9"/>
    </row>
    <row r="29" spans="2:22" ht="27.75" customHeight="1">
      <c r="B29" s="29" t="s">
        <v>63</v>
      </c>
      <c r="C29" s="23"/>
      <c r="D29" s="23"/>
      <c r="E29" s="97">
        <f>SUM(E15:E27)</f>
        <v>105</v>
      </c>
      <c r="F29" s="97">
        <f>SUM(F15:F27)</f>
        <v>207</v>
      </c>
      <c r="G29" s="97">
        <f>SUM(G15:G27)</f>
        <v>306</v>
      </c>
      <c r="H29" s="97">
        <f>SUM(H15:H27)</f>
        <v>409</v>
      </c>
      <c r="I29" s="97">
        <f>SUM(I15:I27)</f>
        <v>509</v>
      </c>
      <c r="J29" s="30"/>
      <c r="K29" s="30"/>
      <c r="L29" s="30"/>
      <c r="M29" s="30"/>
      <c r="N29" s="30"/>
      <c r="P29" s="9"/>
      <c r="R29" s="259">
        <f>(F29-E29)/E29</f>
        <v>0.97142857142857142</v>
      </c>
      <c r="S29" s="259">
        <f t="shared" ref="S29:U29" si="0">(G29-F29)/F29</f>
        <v>0.47826086956521741</v>
      </c>
      <c r="T29" s="259">
        <f t="shared" si="0"/>
        <v>0.33660130718954251</v>
      </c>
      <c r="U29" s="259">
        <f t="shared" si="0"/>
        <v>0.24449877750611246</v>
      </c>
      <c r="V29" s="259"/>
    </row>
    <row r="30" spans="2:22">
      <c r="B30" s="24"/>
      <c r="C30" s="23"/>
      <c r="D30" s="23"/>
      <c r="E30" s="30"/>
      <c r="F30" s="30"/>
      <c r="G30" s="30"/>
      <c r="H30" s="30"/>
      <c r="I30" s="30"/>
      <c r="J30" s="30"/>
      <c r="K30" s="30"/>
      <c r="L30" s="30"/>
      <c r="M30" s="30"/>
      <c r="N30" s="30"/>
      <c r="P30" s="9"/>
    </row>
    <row r="31" spans="2:22">
      <c r="B31" s="31" t="s">
        <v>64</v>
      </c>
      <c r="E31" s="99">
        <f>E29-0</f>
        <v>105</v>
      </c>
      <c r="F31" s="99">
        <f t="shared" ref="F31:I31" si="1">F29-E29</f>
        <v>102</v>
      </c>
      <c r="G31" s="99">
        <f t="shared" si="1"/>
        <v>99</v>
      </c>
      <c r="H31" s="99">
        <f t="shared" si="1"/>
        <v>103</v>
      </c>
      <c r="I31" s="99">
        <f t="shared" si="1"/>
        <v>100</v>
      </c>
      <c r="J31" s="70"/>
      <c r="K31" s="70"/>
      <c r="L31" s="70"/>
      <c r="M31" s="70"/>
      <c r="N31" s="70"/>
      <c r="P31" s="9"/>
    </row>
    <row r="32" spans="2:22">
      <c r="B32" s="31"/>
      <c r="E32" s="19"/>
      <c r="F32" s="19"/>
      <c r="G32" s="19"/>
      <c r="H32" s="19"/>
      <c r="I32" s="19"/>
      <c r="J32" s="19"/>
      <c r="K32" s="19"/>
      <c r="L32" s="19"/>
      <c r="M32" s="19"/>
      <c r="N32" s="19"/>
      <c r="P32" s="9"/>
    </row>
    <row r="33" spans="2:16">
      <c r="B33" s="8"/>
      <c r="E33" s="751" t="s">
        <v>65</v>
      </c>
      <c r="F33" s="752"/>
      <c r="G33" s="766"/>
      <c r="H33" s="766"/>
      <c r="I33" s="766"/>
      <c r="J33" s="766"/>
      <c r="K33" s="766"/>
      <c r="L33" s="766"/>
      <c r="M33" s="766"/>
      <c r="N33" s="766"/>
      <c r="P33" s="9"/>
    </row>
    <row r="34" spans="2:16">
      <c r="B34" s="8"/>
      <c r="E34" s="19"/>
      <c r="F34" s="19"/>
      <c r="G34" s="19"/>
      <c r="H34" s="19"/>
      <c r="I34" s="19"/>
      <c r="J34" s="19"/>
      <c r="K34" s="19"/>
      <c r="L34" s="19"/>
      <c r="M34" s="19"/>
      <c r="N34" s="19"/>
      <c r="P34" s="9"/>
    </row>
    <row r="35" spans="2:16">
      <c r="B35" s="24"/>
      <c r="C35" s="23"/>
      <c r="D35" s="1"/>
      <c r="E35" s="25" t="s">
        <v>42</v>
      </c>
      <c r="F35" s="25" t="s">
        <v>43</v>
      </c>
      <c r="G35" s="25" t="s">
        <v>44</v>
      </c>
      <c r="H35" s="25" t="s">
        <v>45</v>
      </c>
      <c r="I35" s="25" t="s">
        <v>46</v>
      </c>
      <c r="J35" s="41"/>
      <c r="K35" s="41"/>
      <c r="L35" s="41"/>
      <c r="M35" s="41"/>
      <c r="N35" s="41"/>
      <c r="P35" s="9"/>
    </row>
    <row r="36" spans="2:16">
      <c r="B36" s="24"/>
      <c r="C36" s="23"/>
      <c r="D36" s="23"/>
      <c r="E36" s="26"/>
      <c r="F36" s="26"/>
      <c r="G36" s="26"/>
      <c r="H36" s="26"/>
      <c r="I36" s="26"/>
      <c r="J36" s="26"/>
      <c r="K36" s="26"/>
      <c r="L36" s="26"/>
      <c r="M36" s="26"/>
      <c r="N36" s="26"/>
      <c r="P36" s="9"/>
    </row>
    <row r="37" spans="2:16" ht="30">
      <c r="B37" s="27" t="s">
        <v>49</v>
      </c>
      <c r="C37" s="23"/>
      <c r="D37" s="23"/>
      <c r="E37" s="39">
        <v>0</v>
      </c>
      <c r="F37" s="39">
        <v>0</v>
      </c>
      <c r="G37" s="39">
        <v>0</v>
      </c>
      <c r="H37" s="39">
        <v>0</v>
      </c>
      <c r="I37" s="39">
        <v>0</v>
      </c>
      <c r="J37" s="102"/>
      <c r="K37" s="102"/>
      <c r="L37" s="102"/>
      <c r="M37" s="102"/>
      <c r="N37" s="102"/>
      <c r="P37" s="9"/>
    </row>
    <row r="38" spans="2:16">
      <c r="B38" s="24"/>
      <c r="C38" s="23"/>
      <c r="D38" s="23"/>
      <c r="E38" s="26"/>
      <c r="F38" s="26"/>
      <c r="G38" s="26"/>
      <c r="H38" s="26"/>
      <c r="I38" s="26"/>
      <c r="J38" s="26"/>
      <c r="K38" s="26"/>
      <c r="L38" s="26"/>
      <c r="M38" s="26"/>
      <c r="N38" s="26"/>
      <c r="P38" s="9"/>
    </row>
    <row r="39" spans="2:16">
      <c r="B39" s="24" t="s">
        <v>50</v>
      </c>
      <c r="C39" s="23"/>
      <c r="E39" s="39"/>
      <c r="F39" s="39"/>
      <c r="G39" s="39"/>
      <c r="H39" s="39"/>
      <c r="I39" s="39"/>
      <c r="J39" s="102"/>
      <c r="K39" s="102"/>
      <c r="L39" s="102"/>
      <c r="M39" s="102"/>
      <c r="N39" s="102"/>
      <c r="P39" s="9"/>
    </row>
    <row r="40" spans="2:16">
      <c r="B40" s="24" t="s">
        <v>51</v>
      </c>
      <c r="C40" s="23"/>
      <c r="E40" s="39"/>
      <c r="F40" s="39"/>
      <c r="G40" s="39"/>
      <c r="H40" s="39"/>
      <c r="I40" s="39"/>
      <c r="J40" s="102"/>
      <c r="K40" s="102"/>
      <c r="L40" s="102"/>
      <c r="M40" s="102"/>
      <c r="N40" s="102"/>
      <c r="P40" s="9"/>
    </row>
    <row r="41" spans="2:16">
      <c r="B41" s="24" t="s">
        <v>52</v>
      </c>
      <c r="C41" s="23"/>
      <c r="E41" s="39"/>
      <c r="F41" s="39"/>
      <c r="G41" s="39"/>
      <c r="H41" s="39"/>
      <c r="I41" s="39"/>
      <c r="J41" s="102"/>
      <c r="K41" s="102"/>
      <c r="L41" s="102"/>
      <c r="M41" s="102"/>
      <c r="N41" s="102"/>
      <c r="P41" s="9"/>
    </row>
    <row r="42" spans="2:16">
      <c r="B42" s="24" t="s">
        <v>53</v>
      </c>
      <c r="C42" s="23"/>
      <c r="E42" s="39"/>
      <c r="F42" s="39"/>
      <c r="G42" s="39"/>
      <c r="H42" s="39"/>
      <c r="I42" s="39"/>
      <c r="J42" s="102"/>
      <c r="K42" s="102"/>
      <c r="L42" s="102"/>
      <c r="M42" s="102"/>
      <c r="N42" s="102"/>
      <c r="P42" s="9"/>
    </row>
    <row r="43" spans="2:16">
      <c r="B43" s="24" t="s">
        <v>54</v>
      </c>
      <c r="C43" s="23"/>
      <c r="E43" s="39"/>
      <c r="F43" s="39"/>
      <c r="G43" s="39"/>
      <c r="H43" s="39"/>
      <c r="I43" s="39"/>
      <c r="J43" s="102"/>
      <c r="K43" s="102"/>
      <c r="L43" s="102"/>
      <c r="M43" s="102"/>
      <c r="N43" s="102"/>
      <c r="P43" s="9"/>
    </row>
    <row r="44" spans="2:16">
      <c r="B44" s="24" t="s">
        <v>55</v>
      </c>
      <c r="C44" s="23"/>
      <c r="E44" s="39"/>
      <c r="F44" s="39"/>
      <c r="G44" s="39"/>
      <c r="H44" s="39"/>
      <c r="I44" s="39"/>
      <c r="J44" s="102"/>
      <c r="K44" s="102"/>
      <c r="L44" s="102"/>
      <c r="M44" s="102"/>
      <c r="N44" s="102"/>
      <c r="P44" s="9"/>
    </row>
    <row r="45" spans="2:16">
      <c r="B45" s="24" t="s">
        <v>56</v>
      </c>
      <c r="C45" s="23"/>
      <c r="E45" s="39">
        <v>4</v>
      </c>
      <c r="F45" s="39">
        <v>4</v>
      </c>
      <c r="G45" s="39">
        <v>4</v>
      </c>
      <c r="H45" s="39">
        <v>4</v>
      </c>
      <c r="I45" s="39">
        <v>4</v>
      </c>
      <c r="J45" s="102"/>
      <c r="K45" s="102"/>
      <c r="L45" s="102"/>
      <c r="M45" s="102"/>
      <c r="N45" s="102"/>
      <c r="P45" s="9"/>
    </row>
    <row r="46" spans="2:16">
      <c r="B46" s="24" t="s">
        <v>57</v>
      </c>
      <c r="C46" s="23"/>
      <c r="E46" s="39"/>
      <c r="F46" s="39">
        <v>4</v>
      </c>
      <c r="G46" s="39">
        <v>4</v>
      </c>
      <c r="H46" s="39">
        <v>4</v>
      </c>
      <c r="I46" s="39">
        <v>4</v>
      </c>
      <c r="J46" s="102"/>
      <c r="K46" s="102"/>
      <c r="L46" s="102"/>
      <c r="M46" s="102"/>
      <c r="N46" s="102"/>
      <c r="P46" s="9"/>
    </row>
    <row r="47" spans="2:16">
      <c r="B47" s="24" t="s">
        <v>58</v>
      </c>
      <c r="C47" s="23"/>
      <c r="E47" s="39"/>
      <c r="F47" s="39"/>
      <c r="G47" s="39">
        <v>4</v>
      </c>
      <c r="H47" s="39">
        <v>4</v>
      </c>
      <c r="I47" s="39">
        <v>4</v>
      </c>
      <c r="J47" s="102"/>
      <c r="K47" s="102"/>
      <c r="L47" s="102"/>
      <c r="M47" s="102"/>
      <c r="N47" s="102"/>
      <c r="P47" s="9"/>
    </row>
    <row r="48" spans="2:16">
      <c r="B48" s="24" t="s">
        <v>59</v>
      </c>
      <c r="C48" s="23"/>
      <c r="E48" s="39"/>
      <c r="F48" s="39"/>
      <c r="G48" s="39"/>
      <c r="H48" s="39">
        <v>4</v>
      </c>
      <c r="I48" s="39">
        <v>4</v>
      </c>
      <c r="J48" s="102"/>
      <c r="K48" s="102"/>
      <c r="L48" s="102"/>
      <c r="M48" s="102"/>
      <c r="N48" s="102"/>
      <c r="P48" s="9"/>
    </row>
    <row r="49" spans="2:17">
      <c r="B49" s="24" t="s">
        <v>60</v>
      </c>
      <c r="C49" s="23"/>
      <c r="E49" s="39"/>
      <c r="F49" s="39"/>
      <c r="G49" s="39"/>
      <c r="H49" s="39"/>
      <c r="I49" s="39">
        <v>4</v>
      </c>
      <c r="J49" s="102"/>
      <c r="K49" s="102"/>
      <c r="L49" s="102"/>
      <c r="M49" s="102"/>
      <c r="N49" s="102"/>
      <c r="P49" s="9"/>
    </row>
    <row r="50" spans="2:17">
      <c r="B50" s="24" t="s">
        <v>61</v>
      </c>
      <c r="C50" s="23"/>
      <c r="E50" s="39"/>
      <c r="F50" s="39"/>
      <c r="G50" s="39"/>
      <c r="H50" s="39"/>
      <c r="I50" s="39"/>
      <c r="J50" s="102"/>
      <c r="K50" s="102"/>
      <c r="L50" s="102"/>
      <c r="M50" s="102"/>
      <c r="N50" s="102"/>
      <c r="P50" s="9"/>
    </row>
    <row r="51" spans="2:17">
      <c r="B51" s="24" t="s">
        <v>62</v>
      </c>
      <c r="C51" s="23"/>
      <c r="E51" s="39"/>
      <c r="F51" s="39"/>
      <c r="G51" s="39"/>
      <c r="H51" s="39"/>
      <c r="I51" s="39"/>
      <c r="J51" s="102"/>
      <c r="K51" s="102"/>
      <c r="L51" s="102"/>
      <c r="M51" s="102"/>
      <c r="N51" s="102"/>
      <c r="P51" s="9"/>
    </row>
    <row r="52" spans="2:17">
      <c r="B52" s="24"/>
      <c r="C52" s="23"/>
      <c r="E52" s="28"/>
      <c r="F52" s="28"/>
      <c r="G52" s="28"/>
      <c r="H52" s="28"/>
      <c r="I52" s="28"/>
      <c r="J52" s="28"/>
      <c r="K52" s="28"/>
      <c r="L52" s="28"/>
      <c r="M52" s="28"/>
      <c r="N52" s="28"/>
      <c r="P52" s="9"/>
    </row>
    <row r="53" spans="2:17">
      <c r="B53" s="29" t="s">
        <v>66</v>
      </c>
      <c r="C53" s="23"/>
      <c r="D53" s="23"/>
      <c r="E53" s="97">
        <f t="shared" ref="E53:I53" si="2">SUM(E39:E51)</f>
        <v>4</v>
      </c>
      <c r="F53" s="97">
        <f t="shared" si="2"/>
        <v>8</v>
      </c>
      <c r="G53" s="97">
        <f t="shared" si="2"/>
        <v>12</v>
      </c>
      <c r="H53" s="97">
        <f>SUM(H39:H51)</f>
        <v>16</v>
      </c>
      <c r="I53" s="97">
        <f t="shared" si="2"/>
        <v>20</v>
      </c>
      <c r="J53" s="30"/>
      <c r="K53" s="30"/>
      <c r="L53" s="30"/>
      <c r="M53" s="30"/>
      <c r="N53" s="30"/>
      <c r="P53" s="9"/>
    </row>
    <row r="54" spans="2:17">
      <c r="B54" s="24"/>
      <c r="C54" s="23"/>
      <c r="D54" s="23"/>
      <c r="E54" s="30"/>
      <c r="F54" s="30"/>
      <c r="G54" s="30"/>
      <c r="H54" s="30"/>
      <c r="I54" s="30"/>
      <c r="J54" s="30"/>
      <c r="K54" s="30"/>
      <c r="L54" s="30"/>
      <c r="M54" s="30"/>
      <c r="N54" s="30"/>
      <c r="P54" s="9"/>
    </row>
    <row r="55" spans="2:17">
      <c r="B55" s="32" t="s">
        <v>67</v>
      </c>
      <c r="C55" s="23"/>
      <c r="D55" s="23"/>
      <c r="E55" s="97">
        <f>E53-0</f>
        <v>4</v>
      </c>
      <c r="F55" s="97">
        <f>F53-E53</f>
        <v>4</v>
      </c>
      <c r="G55" s="97">
        <f t="shared" ref="G55:I55" si="3">G53-F53</f>
        <v>4</v>
      </c>
      <c r="H55" s="97">
        <f t="shared" si="3"/>
        <v>4</v>
      </c>
      <c r="I55" s="97">
        <f t="shared" si="3"/>
        <v>4</v>
      </c>
      <c r="J55" s="30"/>
      <c r="K55" s="30"/>
      <c r="L55" s="30"/>
      <c r="M55" s="30"/>
      <c r="N55" s="30"/>
      <c r="P55" s="9"/>
    </row>
    <row r="56" spans="2:17" ht="15.75" thickBot="1">
      <c r="B56" s="124"/>
      <c r="C56" s="37"/>
      <c r="D56" s="37"/>
      <c r="E56" s="125"/>
      <c r="F56" s="125"/>
      <c r="G56" s="125"/>
      <c r="H56" s="125"/>
      <c r="I56" s="125"/>
      <c r="J56" s="125"/>
      <c r="K56" s="125"/>
      <c r="L56" s="125"/>
      <c r="M56" s="125"/>
      <c r="N56" s="125"/>
      <c r="O56" s="21"/>
      <c r="P56" s="22"/>
    </row>
    <row r="57" spans="2:17" ht="15.75" thickBot="1">
      <c r="B57" s="42"/>
      <c r="C57" s="23"/>
      <c r="D57" s="23"/>
      <c r="E57" s="30"/>
      <c r="F57" s="30"/>
      <c r="G57" s="30"/>
      <c r="H57" s="30"/>
      <c r="I57" s="30"/>
      <c r="J57" s="30"/>
      <c r="K57" s="30"/>
      <c r="L57" s="30"/>
      <c r="M57" s="30"/>
      <c r="N57" s="30"/>
    </row>
    <row r="58" spans="2:17">
      <c r="B58" s="126"/>
      <c r="C58" s="127"/>
      <c r="D58" s="127"/>
      <c r="E58" s="128"/>
      <c r="F58" s="128"/>
      <c r="G58" s="128"/>
      <c r="H58" s="128"/>
      <c r="I58" s="128"/>
      <c r="J58" s="128"/>
      <c r="K58" s="128"/>
      <c r="L58" s="128"/>
      <c r="M58" s="128"/>
      <c r="N58" s="128"/>
      <c r="O58" s="6"/>
      <c r="P58" s="7"/>
    </row>
    <row r="59" spans="2:17" ht="14.85" customHeight="1">
      <c r="B59" s="8"/>
      <c r="E59" s="751" t="s">
        <v>68</v>
      </c>
      <c r="F59" s="751"/>
      <c r="G59" s="751"/>
      <c r="H59" s="751"/>
      <c r="I59" s="751"/>
      <c r="J59" s="751"/>
      <c r="K59" s="751"/>
      <c r="L59" s="751"/>
      <c r="M59" s="751"/>
      <c r="N59" s="751"/>
      <c r="P59" s="9"/>
    </row>
    <row r="60" spans="2:17" ht="14.85" customHeight="1">
      <c r="B60" s="8"/>
      <c r="E60" s="751" t="s">
        <v>69</v>
      </c>
      <c r="F60" s="751"/>
      <c r="G60" s="751"/>
      <c r="H60" s="751"/>
      <c r="I60" s="751"/>
      <c r="J60" s="751"/>
      <c r="K60" s="751"/>
      <c r="L60" s="751"/>
      <c r="M60" s="751"/>
      <c r="N60" s="751"/>
      <c r="P60" s="9"/>
    </row>
    <row r="61" spans="2:17">
      <c r="B61" s="8"/>
      <c r="E61" s="19"/>
      <c r="F61" s="19"/>
      <c r="G61" s="19"/>
      <c r="H61" s="19"/>
      <c r="I61" s="19"/>
      <c r="J61" s="19"/>
      <c r="K61" s="19"/>
      <c r="L61" s="19"/>
      <c r="M61" s="19"/>
      <c r="N61" s="19"/>
      <c r="P61" s="9"/>
    </row>
    <row r="62" spans="2:17">
      <c r="B62" s="24" t="s">
        <v>70</v>
      </c>
      <c r="C62" s="23"/>
      <c r="D62" s="23"/>
      <c r="E62" s="40">
        <v>0.15</v>
      </c>
      <c r="F62" s="40">
        <v>0.15</v>
      </c>
      <c r="G62" s="40">
        <v>0.15</v>
      </c>
      <c r="H62" s="40">
        <v>0.15</v>
      </c>
      <c r="I62" s="40">
        <v>0.15</v>
      </c>
      <c r="J62" s="103"/>
      <c r="K62" s="103"/>
      <c r="L62" s="103"/>
      <c r="M62" s="103"/>
      <c r="N62" s="103"/>
      <c r="P62" s="9"/>
      <c r="Q62" s="164"/>
    </row>
    <row r="63" spans="2:17">
      <c r="B63" s="32" t="s">
        <v>71</v>
      </c>
      <c r="C63" s="23"/>
      <c r="D63" s="23"/>
      <c r="E63" s="33">
        <f t="shared" ref="E63:I63" si="4">ROUND(E62*E29,0)</f>
        <v>16</v>
      </c>
      <c r="F63" s="33">
        <f t="shared" si="4"/>
        <v>31</v>
      </c>
      <c r="G63" s="33">
        <f t="shared" si="4"/>
        <v>46</v>
      </c>
      <c r="H63" s="33">
        <f t="shared" si="4"/>
        <v>61</v>
      </c>
      <c r="I63" s="33">
        <f t="shared" si="4"/>
        <v>76</v>
      </c>
      <c r="J63" s="33"/>
      <c r="K63" s="33"/>
      <c r="L63" s="33"/>
      <c r="M63" s="33"/>
      <c r="N63" s="33"/>
      <c r="P63" s="9"/>
    </row>
    <row r="64" spans="2:17">
      <c r="B64" s="24"/>
      <c r="C64" s="23"/>
      <c r="D64" s="23"/>
      <c r="E64" s="26"/>
      <c r="F64" s="26"/>
      <c r="G64" s="26"/>
      <c r="H64" s="26"/>
      <c r="I64" s="26"/>
      <c r="J64" s="26"/>
      <c r="K64" s="26"/>
      <c r="L64" s="26"/>
      <c r="M64" s="26"/>
      <c r="N64" s="26"/>
      <c r="P64" s="9"/>
    </row>
    <row r="65" spans="2:17">
      <c r="B65" s="34" t="s">
        <v>72</v>
      </c>
      <c r="C65" s="23"/>
      <c r="D65" s="23"/>
      <c r="E65" s="40">
        <v>0.15</v>
      </c>
      <c r="F65" s="40">
        <v>0.15</v>
      </c>
      <c r="G65" s="40">
        <v>0.15</v>
      </c>
      <c r="H65" s="40">
        <v>0.15</v>
      </c>
      <c r="I65" s="40">
        <v>0.15</v>
      </c>
      <c r="J65" s="103"/>
      <c r="K65" s="103"/>
      <c r="L65" s="103"/>
      <c r="M65" s="103"/>
      <c r="N65" s="103"/>
      <c r="P65" s="9"/>
      <c r="Q65" s="164"/>
    </row>
    <row r="66" spans="2:17">
      <c r="B66" s="32" t="s">
        <v>73</v>
      </c>
      <c r="C66" s="23"/>
      <c r="D66" s="23"/>
      <c r="E66" s="33">
        <f t="shared" ref="E66:I66" si="5">ROUND(E65*E29,0)</f>
        <v>16</v>
      </c>
      <c r="F66" s="33">
        <f t="shared" si="5"/>
        <v>31</v>
      </c>
      <c r="G66" s="33">
        <f t="shared" si="5"/>
        <v>46</v>
      </c>
      <c r="H66" s="33">
        <f t="shared" si="5"/>
        <v>61</v>
      </c>
      <c r="I66" s="33">
        <f t="shared" si="5"/>
        <v>76</v>
      </c>
      <c r="J66" s="33"/>
      <c r="K66" s="33"/>
      <c r="L66" s="33"/>
      <c r="M66" s="33"/>
      <c r="N66" s="33"/>
      <c r="P66" s="9"/>
    </row>
    <row r="67" spans="2:17">
      <c r="B67" s="34"/>
      <c r="C67" s="23"/>
      <c r="D67" s="23"/>
      <c r="E67" s="35"/>
      <c r="F67" s="35"/>
      <c r="G67" s="35"/>
      <c r="H67" s="35"/>
      <c r="I67" s="35"/>
      <c r="J67" s="35"/>
      <c r="K67" s="35"/>
      <c r="L67" s="35"/>
      <c r="M67" s="35"/>
      <c r="N67" s="35"/>
      <c r="P67" s="9"/>
    </row>
    <row r="68" spans="2:17">
      <c r="B68" s="34" t="s">
        <v>74</v>
      </c>
      <c r="C68" s="23"/>
      <c r="D68" s="23"/>
      <c r="E68" s="98">
        <f t="shared" ref="E68:I68" si="6">1-E69-E70</f>
        <v>0</v>
      </c>
      <c r="F68" s="98">
        <f t="shared" si="6"/>
        <v>0</v>
      </c>
      <c r="G68" s="98">
        <f t="shared" si="6"/>
        <v>0</v>
      </c>
      <c r="H68" s="98">
        <f t="shared" si="6"/>
        <v>0</v>
      </c>
      <c r="I68" s="98">
        <f t="shared" si="6"/>
        <v>0</v>
      </c>
      <c r="J68" s="104"/>
      <c r="K68" s="104"/>
      <c r="L68" s="104"/>
      <c r="M68" s="104"/>
      <c r="N68" s="104"/>
      <c r="P68" s="9"/>
    </row>
    <row r="69" spans="2:17">
      <c r="B69" s="34" t="s">
        <v>75</v>
      </c>
      <c r="C69" s="23"/>
      <c r="D69" s="23"/>
      <c r="E69" s="40">
        <v>0</v>
      </c>
      <c r="F69" s="40">
        <v>0</v>
      </c>
      <c r="G69" s="40">
        <v>0</v>
      </c>
      <c r="H69" s="40">
        <v>0</v>
      </c>
      <c r="I69" s="40">
        <v>0</v>
      </c>
      <c r="J69" s="103"/>
      <c r="K69" s="103"/>
      <c r="L69" s="103"/>
      <c r="M69" s="103"/>
      <c r="N69" s="103"/>
      <c r="P69" s="9"/>
    </row>
    <row r="70" spans="2:17">
      <c r="B70" s="34" t="s">
        <v>76</v>
      </c>
      <c r="C70" s="23"/>
      <c r="D70" s="23"/>
      <c r="E70" s="40">
        <v>1</v>
      </c>
      <c r="F70" s="40">
        <v>1</v>
      </c>
      <c r="G70" s="40">
        <v>1</v>
      </c>
      <c r="H70" s="40">
        <v>1</v>
      </c>
      <c r="I70" s="40">
        <v>1</v>
      </c>
      <c r="J70" s="103"/>
      <c r="K70" s="103"/>
      <c r="L70" s="103"/>
      <c r="M70" s="103"/>
      <c r="N70" s="103"/>
      <c r="P70" s="9"/>
    </row>
    <row r="71" spans="2:17">
      <c r="B71" s="32" t="s">
        <v>77</v>
      </c>
      <c r="C71" s="23"/>
      <c r="D71" s="23"/>
      <c r="E71" s="97">
        <f t="shared" ref="E71:I71" si="7">E29-E72-E73</f>
        <v>0</v>
      </c>
      <c r="F71" s="97">
        <f t="shared" si="7"/>
        <v>0</v>
      </c>
      <c r="G71" s="97">
        <f t="shared" si="7"/>
        <v>0</v>
      </c>
      <c r="H71" s="97">
        <f t="shared" si="7"/>
        <v>0</v>
      </c>
      <c r="I71" s="97">
        <f t="shared" si="7"/>
        <v>0</v>
      </c>
      <c r="J71" s="30"/>
      <c r="K71" s="30"/>
      <c r="L71" s="30"/>
      <c r="M71" s="30"/>
      <c r="N71" s="30"/>
      <c r="P71" s="9"/>
    </row>
    <row r="72" spans="2:17">
      <c r="B72" s="32" t="s">
        <v>78</v>
      </c>
      <c r="C72" s="23"/>
      <c r="D72" s="23"/>
      <c r="E72" s="97">
        <f t="shared" ref="E72:I72" si="8">ROUND(E69*E29,0)</f>
        <v>0</v>
      </c>
      <c r="F72" s="97">
        <f t="shared" si="8"/>
        <v>0</v>
      </c>
      <c r="G72" s="97">
        <f t="shared" si="8"/>
        <v>0</v>
      </c>
      <c r="H72" s="97">
        <f t="shared" si="8"/>
        <v>0</v>
      </c>
      <c r="I72" s="97">
        <f t="shared" si="8"/>
        <v>0</v>
      </c>
      <c r="J72" s="30"/>
      <c r="K72" s="30"/>
      <c r="L72" s="30"/>
      <c r="M72" s="30"/>
      <c r="N72" s="30"/>
      <c r="P72" s="9"/>
    </row>
    <row r="73" spans="2:17">
      <c r="B73" s="32" t="s">
        <v>79</v>
      </c>
      <c r="C73" s="23"/>
      <c r="D73" s="23"/>
      <c r="E73" s="97">
        <f t="shared" ref="E73:I73" si="9">ROUND(E70*E29,0)</f>
        <v>105</v>
      </c>
      <c r="F73" s="97">
        <f t="shared" si="9"/>
        <v>207</v>
      </c>
      <c r="G73" s="97">
        <f t="shared" si="9"/>
        <v>306</v>
      </c>
      <c r="H73" s="97">
        <f t="shared" si="9"/>
        <v>409</v>
      </c>
      <c r="I73" s="97">
        <f t="shared" si="9"/>
        <v>509</v>
      </c>
      <c r="J73" s="30"/>
      <c r="K73" s="30"/>
      <c r="L73" s="30"/>
      <c r="M73" s="30"/>
      <c r="N73" s="30"/>
      <c r="P73" s="9"/>
    </row>
    <row r="74" spans="2:17">
      <c r="B74" s="32" t="s">
        <v>80</v>
      </c>
      <c r="C74" s="23"/>
      <c r="D74" s="23"/>
      <c r="E74" s="97">
        <f>SUM(E72:E73)</f>
        <v>105</v>
      </c>
      <c r="F74" s="97">
        <f t="shared" ref="F74:I74" si="10">SUM(F72:F73)</f>
        <v>207</v>
      </c>
      <c r="G74" s="97">
        <f t="shared" si="10"/>
        <v>306</v>
      </c>
      <c r="H74" s="97">
        <f t="shared" si="10"/>
        <v>409</v>
      </c>
      <c r="I74" s="97">
        <f t="shared" si="10"/>
        <v>509</v>
      </c>
      <c r="J74" s="30"/>
      <c r="K74" s="30"/>
      <c r="L74" s="30"/>
      <c r="M74" s="30"/>
      <c r="N74" s="30"/>
      <c r="P74" s="9"/>
    </row>
    <row r="75" spans="2:17">
      <c r="B75" s="24"/>
      <c r="C75" s="23"/>
      <c r="D75" s="23"/>
      <c r="E75" s="26"/>
      <c r="F75" s="26"/>
      <c r="G75" s="26"/>
      <c r="H75" s="26"/>
      <c r="I75" s="26"/>
      <c r="J75" s="26"/>
      <c r="K75" s="26"/>
      <c r="L75" s="26"/>
      <c r="M75" s="26"/>
      <c r="N75" s="26"/>
      <c r="P75" s="9"/>
    </row>
    <row r="76" spans="2:17">
      <c r="B76" s="24" t="s">
        <v>81</v>
      </c>
      <c r="C76" s="23"/>
      <c r="D76" s="23"/>
      <c r="E76" s="39">
        <v>0</v>
      </c>
      <c r="F76" s="39">
        <v>0</v>
      </c>
      <c r="G76" s="39">
        <v>0</v>
      </c>
      <c r="H76" s="39">
        <v>0</v>
      </c>
      <c r="I76" s="39">
        <v>0</v>
      </c>
      <c r="J76" s="102"/>
      <c r="K76" s="102"/>
      <c r="L76" s="102"/>
      <c r="M76" s="102"/>
      <c r="N76" s="102"/>
      <c r="P76" s="9"/>
    </row>
    <row r="77" spans="2:17">
      <c r="B77" s="24" t="s">
        <v>82</v>
      </c>
      <c r="C77" s="23"/>
      <c r="D77" s="23"/>
      <c r="E77" s="40">
        <v>0</v>
      </c>
      <c r="F77" s="40">
        <v>0</v>
      </c>
      <c r="G77" s="40">
        <v>0</v>
      </c>
      <c r="H77" s="40">
        <v>0</v>
      </c>
      <c r="I77" s="40">
        <v>0</v>
      </c>
      <c r="J77" s="103"/>
      <c r="K77" s="103"/>
      <c r="L77" s="103"/>
      <c r="M77" s="103"/>
      <c r="N77" s="103"/>
      <c r="P77" s="9"/>
    </row>
    <row r="78" spans="2:17" ht="15.75" thickBot="1">
      <c r="B78" s="36"/>
      <c r="C78" s="37"/>
      <c r="D78" s="37"/>
      <c r="E78" s="38"/>
      <c r="F78" s="38"/>
      <c r="G78" s="38"/>
      <c r="H78" s="38"/>
      <c r="I78" s="38"/>
      <c r="J78" s="38"/>
      <c r="K78" s="38"/>
      <c r="L78" s="38"/>
      <c r="M78" s="38"/>
      <c r="N78" s="38"/>
      <c r="O78" s="21"/>
      <c r="P78" s="22"/>
    </row>
    <row r="80" spans="2:17">
      <c r="E80" t="s">
        <v>823</v>
      </c>
    </row>
  </sheetData>
  <mergeCells count="7">
    <mergeCell ref="E60:N60"/>
    <mergeCell ref="E33:N33"/>
    <mergeCell ref="E59:N59"/>
    <mergeCell ref="E3:N3"/>
    <mergeCell ref="E4:N4"/>
    <mergeCell ref="E5:N5"/>
    <mergeCell ref="E8:N8"/>
  </mergeCells>
  <pageMargins left="0.7" right="0.7" top="0.75" bottom="0.75" header="0.3" footer="0.3"/>
  <pageSetup scale="83" fitToHeight="0" orientation="portrait" horizontalDpi="1200" verticalDpi="1200" r:id="rId1"/>
  <headerFooter>
    <oddFooter>&amp;L&amp;A&amp;RPage &amp;P of &amp;N</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Q198"/>
  <sheetViews>
    <sheetView showGridLines="0" topLeftCell="A178" zoomScale="75" zoomScaleNormal="75" zoomScaleSheetLayoutView="85" workbookViewId="0">
      <selection activeCell="E196" sqref="E196"/>
    </sheetView>
  </sheetViews>
  <sheetFormatPr defaultColWidth="8.7109375" defaultRowHeight="15"/>
  <cols>
    <col min="1" max="1" width="4.7109375" customWidth="1"/>
    <col min="2" max="2" width="44.28515625" customWidth="1"/>
    <col min="3" max="3" width="23.28515625" customWidth="1"/>
    <col min="4" max="4" width="3.28515625" customWidth="1"/>
    <col min="5" max="5" width="25.28515625" customWidth="1"/>
    <col min="6" max="6" width="115.140625" customWidth="1"/>
    <col min="7" max="7" width="4.7109375" hidden="1" customWidth="1"/>
    <col min="8" max="9" width="4.7109375" customWidth="1"/>
  </cols>
  <sheetData>
    <row r="1" spans="1:8" ht="15.75" thickBot="1"/>
    <row r="2" spans="1:8">
      <c r="B2" s="5"/>
      <c r="C2" s="6"/>
      <c r="D2" s="6"/>
      <c r="E2" s="6"/>
      <c r="F2" s="6"/>
      <c r="G2" s="6"/>
      <c r="H2" s="7"/>
    </row>
    <row r="3" spans="1:8" ht="18.75">
      <c r="B3" s="8"/>
      <c r="E3" s="10" t="str">
        <f>IF('1) Proposed School Information'!E12="","ENTER SCHOOL NAME ON PROPOSED SCHOOL INFO SHEET",'1) Proposed School Information'!E12)</f>
        <v>Knoxville Prep</v>
      </c>
      <c r="F3" s="10"/>
      <c r="H3" s="9"/>
    </row>
    <row r="4" spans="1:8" ht="18.75">
      <c r="B4" s="8"/>
      <c r="E4" s="10" t="s">
        <v>14</v>
      </c>
      <c r="F4" s="10"/>
      <c r="H4" s="9"/>
    </row>
    <row r="5" spans="1:8" ht="18.75">
      <c r="B5" s="8"/>
      <c r="E5" s="10" t="s">
        <v>83</v>
      </c>
      <c r="F5" s="10"/>
      <c r="H5" s="9"/>
    </row>
    <row r="6" spans="1:8">
      <c r="B6" s="8"/>
      <c r="H6" s="9"/>
    </row>
    <row r="7" spans="1:8">
      <c r="B7" s="8"/>
      <c r="H7" s="9"/>
    </row>
    <row r="8" spans="1:8" ht="14.85" customHeight="1">
      <c r="B8" s="8"/>
      <c r="C8" s="751" t="s">
        <v>84</v>
      </c>
      <c r="D8" s="762"/>
      <c r="E8" s="762"/>
      <c r="F8" s="762"/>
      <c r="H8" s="9"/>
    </row>
    <row r="9" spans="1:8">
      <c r="B9" s="8"/>
      <c r="H9" s="9"/>
    </row>
    <row r="10" spans="1:8">
      <c r="A10" s="23"/>
      <c r="B10" s="24"/>
      <c r="C10" s="23"/>
      <c r="D10" s="1"/>
      <c r="E10" s="25" t="s">
        <v>85</v>
      </c>
      <c r="F10" s="41"/>
      <c r="H10" s="9"/>
    </row>
    <row r="11" spans="1:8">
      <c r="A11" s="23"/>
      <c r="B11" s="24"/>
      <c r="C11" s="23"/>
      <c r="D11" s="1"/>
      <c r="E11" s="25" t="str">
        <f>IF('1) Proposed School Information'!E21="Select Year"," ",VLOOKUP('6) Year 1 Budget'!E11,Source!A8:C17,3,FALSE))</f>
        <v>2023-24</v>
      </c>
      <c r="F11" s="41"/>
      <c r="H11" s="9"/>
    </row>
    <row r="12" spans="1:8" hidden="1">
      <c r="A12" s="23"/>
      <c r="B12" s="24"/>
      <c r="C12" s="42" t="s">
        <v>86</v>
      </c>
      <c r="D12" s="1"/>
      <c r="E12" s="43">
        <v>0</v>
      </c>
      <c r="F12" s="44"/>
      <c r="H12" s="9"/>
    </row>
    <row r="13" spans="1:8" hidden="1">
      <c r="A13" s="23"/>
      <c r="B13" s="24"/>
      <c r="C13" s="45" t="s">
        <v>87</v>
      </c>
      <c r="D13" s="1"/>
      <c r="E13" s="46">
        <f>100%+E12</f>
        <v>1</v>
      </c>
      <c r="F13" s="46"/>
      <c r="H13" s="9"/>
    </row>
    <row r="14" spans="1:8" hidden="1">
      <c r="A14" s="23"/>
      <c r="B14" s="24"/>
      <c r="C14" s="45"/>
      <c r="D14" s="1"/>
      <c r="E14" s="46"/>
      <c r="F14" s="46"/>
      <c r="H14" s="9"/>
    </row>
    <row r="15" spans="1:8">
      <c r="A15" s="23"/>
      <c r="B15" s="24"/>
      <c r="C15" s="45"/>
      <c r="D15" s="1"/>
      <c r="E15" s="46"/>
      <c r="F15" s="46"/>
      <c r="H15" s="9"/>
    </row>
    <row r="16" spans="1:8">
      <c r="A16" s="23"/>
      <c r="B16" s="32" t="s">
        <v>88</v>
      </c>
      <c r="C16" s="30" t="s">
        <v>89</v>
      </c>
      <c r="D16" s="23"/>
      <c r="E16" s="30" t="s">
        <v>90</v>
      </c>
      <c r="F16" s="47" t="s">
        <v>91</v>
      </c>
      <c r="H16" s="9"/>
    </row>
    <row r="17" spans="1:8" hidden="1">
      <c r="A17" s="23"/>
      <c r="B17" s="32" t="s">
        <v>92</v>
      </c>
      <c r="C17" s="42" t="s">
        <v>89</v>
      </c>
      <c r="D17" s="23"/>
      <c r="E17" s="26"/>
      <c r="F17" s="47" t="s">
        <v>91</v>
      </c>
      <c r="H17" s="9"/>
    </row>
    <row r="18" spans="1:8" hidden="1">
      <c r="A18" s="23"/>
      <c r="B18" s="34" t="s">
        <v>93</v>
      </c>
      <c r="C18" s="48">
        <v>0</v>
      </c>
      <c r="E18" s="49">
        <v>0</v>
      </c>
      <c r="F18" s="130"/>
      <c r="H18" s="9"/>
    </row>
    <row r="19" spans="1:8" hidden="1">
      <c r="A19" s="23"/>
      <c r="B19" s="34" t="s">
        <v>94</v>
      </c>
      <c r="C19" s="48">
        <v>0</v>
      </c>
      <c r="E19" s="49">
        <v>0</v>
      </c>
      <c r="F19" s="130"/>
      <c r="H19" s="9"/>
    </row>
    <row r="20" spans="1:8" hidden="1">
      <c r="A20" s="23"/>
      <c r="B20" s="34" t="s">
        <v>95</v>
      </c>
      <c r="C20" s="48">
        <v>0</v>
      </c>
      <c r="E20" s="49">
        <v>0</v>
      </c>
      <c r="F20" s="130"/>
      <c r="H20" s="9"/>
    </row>
    <row r="21" spans="1:8" hidden="1">
      <c r="A21" s="23"/>
      <c r="B21" s="50" t="s">
        <v>96</v>
      </c>
      <c r="C21" s="48">
        <v>0</v>
      </c>
      <c r="E21" s="49">
        <v>0</v>
      </c>
      <c r="F21" s="130"/>
      <c r="H21" s="9"/>
    </row>
    <row r="22" spans="1:8" hidden="1">
      <c r="A22" s="23"/>
      <c r="B22" s="50" t="s">
        <v>96</v>
      </c>
      <c r="C22" s="48">
        <v>0</v>
      </c>
      <c r="E22" s="49">
        <v>0</v>
      </c>
      <c r="F22" s="130"/>
      <c r="H22" s="9"/>
    </row>
    <row r="23" spans="1:8" hidden="1">
      <c r="A23" s="23"/>
      <c r="B23" s="34"/>
      <c r="C23" s="51"/>
      <c r="E23" s="52"/>
      <c r="F23" s="52"/>
      <c r="H23" s="9"/>
    </row>
    <row r="24" spans="1:8">
      <c r="B24" s="8"/>
      <c r="H24" s="9"/>
    </row>
    <row r="25" spans="1:8" hidden="1">
      <c r="B25" s="34" t="s">
        <v>97</v>
      </c>
      <c r="C25" s="48">
        <v>0</v>
      </c>
      <c r="E25" s="49">
        <v>0</v>
      </c>
      <c r="F25" s="130"/>
      <c r="H25" s="9"/>
    </row>
    <row r="26" spans="1:8" hidden="1">
      <c r="B26" s="34" t="s">
        <v>98</v>
      </c>
      <c r="C26" s="48">
        <v>0</v>
      </c>
      <c r="E26" s="49">
        <v>0</v>
      </c>
      <c r="F26" s="130"/>
      <c r="H26" s="9"/>
    </row>
    <row r="27" spans="1:8" hidden="1">
      <c r="B27" s="34" t="s">
        <v>99</v>
      </c>
      <c r="C27" s="48">
        <v>0</v>
      </c>
      <c r="E27" s="49">
        <v>0</v>
      </c>
      <c r="F27" s="130"/>
      <c r="H27" s="9"/>
    </row>
    <row r="28" spans="1:8" hidden="1">
      <c r="B28" s="34" t="s">
        <v>100</v>
      </c>
      <c r="C28" s="48">
        <v>0</v>
      </c>
      <c r="E28" s="49">
        <v>0</v>
      </c>
      <c r="F28" s="130"/>
      <c r="H28" s="9"/>
    </row>
    <row r="29" spans="1:8" hidden="1">
      <c r="B29" s="34" t="s">
        <v>101</v>
      </c>
      <c r="C29" s="48">
        <v>0</v>
      </c>
      <c r="E29" s="49">
        <v>0</v>
      </c>
      <c r="F29" s="130"/>
      <c r="H29" s="9"/>
    </row>
    <row r="30" spans="1:8">
      <c r="B30" s="34" t="s">
        <v>102</v>
      </c>
      <c r="C30" s="65">
        <v>400000</v>
      </c>
      <c r="E30" s="632">
        <v>200000</v>
      </c>
      <c r="F30" s="106" t="s">
        <v>825</v>
      </c>
      <c r="H30" s="9"/>
    </row>
    <row r="31" spans="1:8" hidden="1">
      <c r="B31" s="50" t="s">
        <v>96</v>
      </c>
      <c r="C31" s="48">
        <v>0</v>
      </c>
      <c r="E31" s="49">
        <v>0</v>
      </c>
      <c r="F31" s="130"/>
      <c r="H31" s="9"/>
    </row>
    <row r="32" spans="1:8" hidden="1">
      <c r="B32" s="50" t="s">
        <v>96</v>
      </c>
      <c r="C32" s="48">
        <v>0</v>
      </c>
      <c r="E32" s="49">
        <v>0</v>
      </c>
      <c r="F32" s="130"/>
      <c r="H32" s="9"/>
    </row>
    <row r="33" spans="1:17">
      <c r="B33" s="34"/>
      <c r="C33" s="51"/>
      <c r="E33" s="52"/>
      <c r="F33" s="52"/>
      <c r="H33" s="9"/>
    </row>
    <row r="34" spans="1:17" hidden="1">
      <c r="B34" s="32" t="s">
        <v>103</v>
      </c>
      <c r="C34" s="51"/>
      <c r="E34" s="52"/>
      <c r="F34" s="52"/>
      <c r="H34" s="9"/>
    </row>
    <row r="35" spans="1:17" hidden="1">
      <c r="B35" s="50" t="s">
        <v>96</v>
      </c>
      <c r="C35" s="48">
        <v>0</v>
      </c>
      <c r="E35" s="49">
        <v>0</v>
      </c>
      <c r="F35" s="130"/>
      <c r="H35" s="9"/>
    </row>
    <row r="36" spans="1:17" hidden="1">
      <c r="B36" s="50" t="s">
        <v>96</v>
      </c>
      <c r="C36" s="48">
        <v>0</v>
      </c>
      <c r="E36" s="49">
        <v>0</v>
      </c>
      <c r="F36" s="130"/>
      <c r="H36" s="9"/>
    </row>
    <row r="37" spans="1:17" hidden="1">
      <c r="B37" s="50" t="s">
        <v>96</v>
      </c>
      <c r="C37" s="48">
        <v>0</v>
      </c>
      <c r="E37" s="49">
        <v>0</v>
      </c>
      <c r="F37" s="130"/>
      <c r="H37" s="9"/>
    </row>
    <row r="38" spans="1:17" hidden="1">
      <c r="B38" s="50" t="s">
        <v>96</v>
      </c>
      <c r="C38" s="48">
        <v>0</v>
      </c>
      <c r="E38" s="49">
        <v>0</v>
      </c>
      <c r="F38" s="130"/>
      <c r="H38" s="9"/>
    </row>
    <row r="39" spans="1:17" hidden="1">
      <c r="B39" s="50" t="s">
        <v>96</v>
      </c>
      <c r="C39" s="48">
        <v>0</v>
      </c>
      <c r="E39" s="49">
        <v>0</v>
      </c>
      <c r="F39" s="130"/>
      <c r="H39" s="9"/>
    </row>
    <row r="40" spans="1:17" hidden="1">
      <c r="B40" s="34"/>
      <c r="C40" s="51"/>
      <c r="E40" s="52"/>
      <c r="F40" s="52"/>
      <c r="H40" s="9"/>
    </row>
    <row r="41" spans="1:17">
      <c r="B41" s="32" t="s">
        <v>104</v>
      </c>
      <c r="C41" s="51"/>
      <c r="E41" s="52"/>
      <c r="F41" s="47" t="s">
        <v>105</v>
      </c>
      <c r="H41" s="9"/>
    </row>
    <row r="42" spans="1:17">
      <c r="B42" s="67" t="s">
        <v>96</v>
      </c>
      <c r="C42" s="65"/>
      <c r="E42" s="65"/>
      <c r="F42" s="106"/>
      <c r="H42" s="9"/>
    </row>
    <row r="43" spans="1:17">
      <c r="B43" s="67" t="s">
        <v>96</v>
      </c>
      <c r="C43" s="65"/>
      <c r="E43" s="65">
        <v>250000</v>
      </c>
      <c r="F43" s="106" t="s">
        <v>763</v>
      </c>
      <c r="H43" s="9"/>
    </row>
    <row r="44" spans="1:17">
      <c r="B44" s="67" t="s">
        <v>96</v>
      </c>
      <c r="C44" s="65">
        <v>45000</v>
      </c>
      <c r="E44" s="65">
        <v>295000</v>
      </c>
      <c r="F44" s="106" t="s">
        <v>833</v>
      </c>
      <c r="H44" s="9"/>
      <c r="K44">
        <f>250+45</f>
        <v>295</v>
      </c>
    </row>
    <row r="45" spans="1:17">
      <c r="B45" s="67" t="s">
        <v>96</v>
      </c>
      <c r="C45" s="65"/>
      <c r="E45" s="65">
        <v>0</v>
      </c>
      <c r="F45" s="106"/>
      <c r="H45" s="9"/>
    </row>
    <row r="46" spans="1:17" ht="14.85" customHeight="1">
      <c r="B46" s="67" t="s">
        <v>96</v>
      </c>
      <c r="C46" s="65"/>
      <c r="E46" s="65">
        <v>0</v>
      </c>
      <c r="F46" s="106"/>
      <c r="H46" s="9"/>
      <c r="Q46" t="s">
        <v>831</v>
      </c>
    </row>
    <row r="47" spans="1:17">
      <c r="A47" s="23"/>
      <c r="B47" s="24"/>
      <c r="C47" s="23"/>
      <c r="D47" s="23"/>
      <c r="E47" s="30"/>
      <c r="F47" s="30"/>
      <c r="H47" s="9"/>
      <c r="Q47" t="s">
        <v>832</v>
      </c>
    </row>
    <row r="48" spans="1:17" ht="19.5" thickBot="1">
      <c r="B48" s="53" t="s">
        <v>106</v>
      </c>
      <c r="E48" s="54">
        <f>SUM(E18:E22,E24:E32,E35:E39,E42:E46)</f>
        <v>745000</v>
      </c>
      <c r="F48" s="55"/>
      <c r="H48" s="9"/>
    </row>
    <row r="49" spans="1:8" ht="20.25" hidden="1" thickTop="1" thickBot="1">
      <c r="B49" s="53"/>
      <c r="E49" s="55"/>
      <c r="F49" s="55"/>
      <c r="H49" s="9"/>
    </row>
    <row r="50" spans="1:8" ht="19.5" hidden="1" thickBot="1">
      <c r="B50" s="53"/>
      <c r="C50" s="777" t="s">
        <v>107</v>
      </c>
      <c r="D50" s="778"/>
      <c r="E50" s="778"/>
      <c r="F50" s="779"/>
      <c r="H50" s="9"/>
    </row>
    <row r="51" spans="1:8" ht="18.75" hidden="1">
      <c r="B51" s="53"/>
      <c r="C51" s="768"/>
      <c r="D51" s="769"/>
      <c r="E51" s="769"/>
      <c r="F51" s="770"/>
      <c r="H51" s="9"/>
    </row>
    <row r="52" spans="1:8" ht="18.75" hidden="1">
      <c r="B52" s="53"/>
      <c r="C52" s="771"/>
      <c r="D52" s="772"/>
      <c r="E52" s="772"/>
      <c r="F52" s="773"/>
      <c r="H52" s="9"/>
    </row>
    <row r="53" spans="1:8" ht="18.75" hidden="1">
      <c r="B53" s="53"/>
      <c r="C53" s="771"/>
      <c r="D53" s="772"/>
      <c r="E53" s="772"/>
      <c r="F53" s="773"/>
      <c r="H53" s="9"/>
    </row>
    <row r="54" spans="1:8" ht="18.75" hidden="1">
      <c r="B54" s="53"/>
      <c r="C54" s="771"/>
      <c r="D54" s="772"/>
      <c r="E54" s="772"/>
      <c r="F54" s="773"/>
      <c r="H54" s="9"/>
    </row>
    <row r="55" spans="1:8" ht="20.25" thickTop="1" thickBot="1">
      <c r="B55" s="129"/>
      <c r="C55" s="774"/>
      <c r="D55" s="775"/>
      <c r="E55" s="775"/>
      <c r="F55" s="776"/>
      <c r="G55" s="21"/>
      <c r="H55" s="22"/>
    </row>
    <row r="56" spans="1:8">
      <c r="B56" s="131"/>
      <c r="C56" s="6"/>
      <c r="D56" s="6"/>
      <c r="E56" s="132"/>
      <c r="F56" s="132"/>
      <c r="G56" s="6"/>
      <c r="H56" s="7"/>
    </row>
    <row r="57" spans="1:8" ht="14.85" customHeight="1">
      <c r="A57" s="23"/>
      <c r="B57" s="8"/>
      <c r="C57" s="751" t="s">
        <v>108</v>
      </c>
      <c r="D57" s="762"/>
      <c r="E57" s="762"/>
      <c r="F57" s="762"/>
      <c r="H57" s="9"/>
    </row>
    <row r="58" spans="1:8">
      <c r="A58" s="23"/>
      <c r="B58" s="8"/>
      <c r="E58" s="19"/>
      <c r="F58" s="19"/>
      <c r="H58" s="9"/>
    </row>
    <row r="59" spans="1:8">
      <c r="A59" s="23"/>
      <c r="B59" s="24"/>
      <c r="C59" s="23"/>
      <c r="D59" s="1"/>
      <c r="E59" s="25" t="s">
        <v>85</v>
      </c>
      <c r="F59" s="41"/>
      <c r="H59" s="9"/>
    </row>
    <row r="60" spans="1:8">
      <c r="A60" s="23"/>
      <c r="B60" s="24"/>
      <c r="C60" s="23"/>
      <c r="D60" s="23"/>
      <c r="E60" s="56" t="str">
        <f>E11</f>
        <v>2023-24</v>
      </c>
      <c r="F60" s="26"/>
      <c r="H60" s="9"/>
    </row>
    <row r="61" spans="1:8">
      <c r="A61" s="23"/>
      <c r="B61" s="24"/>
      <c r="C61" s="23"/>
      <c r="D61" s="23"/>
      <c r="E61" s="26"/>
      <c r="F61" s="26"/>
      <c r="H61" s="9"/>
    </row>
    <row r="62" spans="1:8">
      <c r="A62" s="23"/>
      <c r="B62" s="32" t="s">
        <v>225</v>
      </c>
      <c r="C62" s="42" t="s">
        <v>109</v>
      </c>
      <c r="D62" s="23"/>
      <c r="E62" s="52"/>
      <c r="F62" s="47" t="s">
        <v>91</v>
      </c>
      <c r="H62" s="9"/>
    </row>
    <row r="63" spans="1:8">
      <c r="A63" s="23"/>
      <c r="B63" s="27" t="s">
        <v>110</v>
      </c>
      <c r="C63" s="68">
        <v>1</v>
      </c>
      <c r="D63" s="57"/>
      <c r="E63" s="65">
        <v>86760</v>
      </c>
      <c r="F63" s="106"/>
      <c r="H63" s="9"/>
    </row>
    <row r="64" spans="1:8">
      <c r="A64" s="23"/>
      <c r="B64" s="27" t="s">
        <v>111</v>
      </c>
      <c r="C64" s="68">
        <v>1</v>
      </c>
      <c r="D64" s="57"/>
      <c r="E64" s="65">
        <v>70000</v>
      </c>
      <c r="F64" s="106"/>
      <c r="H64" s="9"/>
    </row>
    <row r="65" spans="1:8">
      <c r="A65" s="23"/>
      <c r="B65" s="27" t="s">
        <v>112</v>
      </c>
      <c r="C65" s="68">
        <v>0</v>
      </c>
      <c r="D65" s="57"/>
      <c r="E65" s="65">
        <v>0</v>
      </c>
      <c r="F65" s="106"/>
      <c r="H65" s="9"/>
    </row>
    <row r="66" spans="1:8">
      <c r="A66" s="23"/>
      <c r="B66" s="27" t="s">
        <v>113</v>
      </c>
      <c r="C66" s="68">
        <v>0</v>
      </c>
      <c r="D66" s="57"/>
      <c r="E66" s="65">
        <v>0</v>
      </c>
      <c r="F66" s="106"/>
      <c r="H66" s="9"/>
    </row>
    <row r="67" spans="1:8">
      <c r="A67" s="23"/>
      <c r="B67" s="27" t="s">
        <v>114</v>
      </c>
      <c r="C67" s="68">
        <v>0</v>
      </c>
      <c r="D67" s="57"/>
      <c r="E67" s="65">
        <v>0</v>
      </c>
      <c r="F67" s="106"/>
      <c r="H67" s="9"/>
    </row>
    <row r="68" spans="1:8">
      <c r="A68" s="23"/>
      <c r="B68" s="29" t="str">
        <f>'[4]5) Year 1-5 Staff Assumptions'!B56</f>
        <v>Total Administrative Compensation</v>
      </c>
      <c r="C68" s="59">
        <f>SUM(C63:C67)</f>
        <v>2</v>
      </c>
      <c r="D68" s="42"/>
      <c r="E68" s="60">
        <f>SUM(E63:E67)</f>
        <v>156760</v>
      </c>
      <c r="F68" s="109"/>
      <c r="H68" s="9"/>
    </row>
    <row r="69" spans="1:8">
      <c r="A69" s="23"/>
      <c r="B69" s="27"/>
      <c r="C69" s="62"/>
      <c r="E69" s="63"/>
      <c r="F69" s="110"/>
      <c r="H69" s="9"/>
    </row>
    <row r="70" spans="1:8">
      <c r="A70" s="23"/>
      <c r="B70" s="29" t="str">
        <f>'[4]5) Year 1-5 Staff Assumptions'!B58</f>
        <v>Instructional Staff</v>
      </c>
      <c r="C70" s="62"/>
      <c r="D70" s="62"/>
      <c r="E70" s="62"/>
      <c r="F70" s="111"/>
      <c r="H70" s="9"/>
    </row>
    <row r="71" spans="1:8">
      <c r="A71" s="23"/>
      <c r="B71" s="27" t="s">
        <v>115</v>
      </c>
      <c r="C71" s="68">
        <v>0</v>
      </c>
      <c r="D71" s="57"/>
      <c r="E71" s="65">
        <v>0</v>
      </c>
      <c r="F71" s="106"/>
      <c r="H71" s="9"/>
    </row>
    <row r="72" spans="1:8">
      <c r="A72" s="23"/>
      <c r="B72" s="27" t="s">
        <v>116</v>
      </c>
      <c r="C72" s="68">
        <v>0</v>
      </c>
      <c r="D72" s="57"/>
      <c r="E72" s="65">
        <v>0</v>
      </c>
      <c r="F72" s="106"/>
      <c r="H72" s="9"/>
    </row>
    <row r="73" spans="1:8">
      <c r="A73" s="23"/>
      <c r="B73" s="27" t="s">
        <v>117</v>
      </c>
      <c r="C73" s="68">
        <v>0</v>
      </c>
      <c r="D73" s="57"/>
      <c r="E73" s="65">
        <v>0</v>
      </c>
      <c r="F73" s="106"/>
      <c r="H73" s="9"/>
    </row>
    <row r="74" spans="1:8">
      <c r="A74" s="23"/>
      <c r="B74" s="27" t="s">
        <v>118</v>
      </c>
      <c r="C74" s="68">
        <v>0</v>
      </c>
      <c r="D74" s="57"/>
      <c r="E74" s="65">
        <v>0</v>
      </c>
      <c r="F74" s="106"/>
      <c r="H74" s="9"/>
    </row>
    <row r="75" spans="1:8">
      <c r="A75" s="23"/>
      <c r="B75" s="27" t="s">
        <v>114</v>
      </c>
      <c r="C75" s="68">
        <v>0</v>
      </c>
      <c r="D75" s="57"/>
      <c r="E75" s="65">
        <v>0</v>
      </c>
      <c r="F75" s="106"/>
      <c r="H75" s="9"/>
    </row>
    <row r="76" spans="1:8">
      <c r="A76" s="23"/>
      <c r="B76" s="29" t="str">
        <f>'[4]5) Year 1-5 Staff Assumptions'!B64</f>
        <v>Total Instructional Compensation</v>
      </c>
      <c r="C76" s="59">
        <f>SUM(C71:C75)</f>
        <v>0</v>
      </c>
      <c r="D76" s="42"/>
      <c r="E76" s="60">
        <f>SUM(E71:E75)</f>
        <v>0</v>
      </c>
      <c r="F76" s="61"/>
      <c r="H76" s="9"/>
    </row>
    <row r="77" spans="1:8">
      <c r="A77" s="23"/>
      <c r="B77" s="27"/>
      <c r="C77" s="62"/>
      <c r="E77" s="63"/>
      <c r="F77" s="63"/>
      <c r="H77" s="9"/>
    </row>
    <row r="78" spans="1:8">
      <c r="A78" s="23"/>
      <c r="B78" s="29" t="str">
        <f>'[4]5) Year 1-5 Staff Assumptions'!B66</f>
        <v>Non-Instructional Staff</v>
      </c>
      <c r="C78" s="62"/>
      <c r="D78" s="62"/>
      <c r="E78" s="62"/>
      <c r="F78" s="62"/>
      <c r="H78" s="9"/>
    </row>
    <row r="79" spans="1:8">
      <c r="A79" s="23"/>
      <c r="B79" s="27" t="s">
        <v>119</v>
      </c>
      <c r="C79" s="68">
        <v>1</v>
      </c>
      <c r="D79" s="57"/>
      <c r="E79" s="65">
        <v>26000</v>
      </c>
      <c r="F79" s="106"/>
      <c r="H79" s="9"/>
    </row>
    <row r="80" spans="1:8">
      <c r="A80" s="23"/>
      <c r="B80" s="27" t="s">
        <v>120</v>
      </c>
      <c r="C80" s="68">
        <v>0</v>
      </c>
      <c r="D80" s="57"/>
      <c r="E80" s="65">
        <v>0</v>
      </c>
      <c r="F80" s="106"/>
      <c r="H80" s="9"/>
    </row>
    <row r="81" spans="1:8">
      <c r="A81" s="23"/>
      <c r="B81" s="27" t="s">
        <v>121</v>
      </c>
      <c r="C81" s="68">
        <v>1</v>
      </c>
      <c r="D81" s="57"/>
      <c r="E81" s="65">
        <v>48702</v>
      </c>
      <c r="F81" s="106"/>
      <c r="H81" s="9"/>
    </row>
    <row r="82" spans="1:8">
      <c r="A82" s="23"/>
      <c r="B82" s="27" t="s">
        <v>122</v>
      </c>
      <c r="C82" s="68">
        <v>0</v>
      </c>
      <c r="D82" s="57"/>
      <c r="E82" s="65">
        <v>0</v>
      </c>
      <c r="F82" s="106"/>
      <c r="H82" s="9"/>
    </row>
    <row r="83" spans="1:8">
      <c r="A83" s="23"/>
      <c r="B83" s="27" t="s">
        <v>114</v>
      </c>
      <c r="C83" s="68">
        <v>0</v>
      </c>
      <c r="D83" s="57"/>
      <c r="E83" s="65">
        <v>0</v>
      </c>
      <c r="F83" s="106"/>
      <c r="H83" s="9"/>
    </row>
    <row r="84" spans="1:8">
      <c r="A84" s="23"/>
      <c r="B84" s="29" t="str">
        <f>'[4]5) Year 1-5 Staff Assumptions'!B72</f>
        <v>Total Non-Instructional  Compensation</v>
      </c>
      <c r="C84" s="59">
        <f>SUM(C79:C83)</f>
        <v>2</v>
      </c>
      <c r="D84" s="42"/>
      <c r="E84" s="60">
        <f>SUM(E79:E83)</f>
        <v>74702</v>
      </c>
      <c r="F84" s="109"/>
      <c r="H84" s="9"/>
    </row>
    <row r="85" spans="1:8">
      <c r="A85" s="23"/>
      <c r="B85" s="27"/>
      <c r="C85" s="23"/>
      <c r="D85" s="23"/>
      <c r="E85" s="63"/>
      <c r="F85" s="110"/>
      <c r="H85" s="9"/>
    </row>
    <row r="86" spans="1:8">
      <c r="A86" s="23"/>
      <c r="B86" s="27" t="s">
        <v>123</v>
      </c>
      <c r="C86" s="23"/>
      <c r="D86" s="23"/>
      <c r="E86" s="66">
        <v>5063</v>
      </c>
      <c r="F86" s="107" t="s">
        <v>730</v>
      </c>
      <c r="H86" s="9"/>
    </row>
    <row r="87" spans="1:8">
      <c r="A87" s="23"/>
      <c r="B87" s="27" t="s">
        <v>124</v>
      </c>
      <c r="C87" s="23"/>
      <c r="D87" s="23"/>
      <c r="E87" s="66">
        <v>0</v>
      </c>
      <c r="F87" s="114"/>
      <c r="H87" s="9"/>
    </row>
    <row r="88" spans="1:8">
      <c r="A88" s="23"/>
      <c r="B88" s="27" t="s">
        <v>124</v>
      </c>
      <c r="C88" s="23"/>
      <c r="D88" s="23"/>
      <c r="E88" s="66">
        <v>0</v>
      </c>
      <c r="F88" s="114"/>
      <c r="H88" s="9"/>
    </row>
    <row r="89" spans="1:8">
      <c r="A89" s="23"/>
      <c r="B89" s="27" t="s">
        <v>124</v>
      </c>
      <c r="C89" s="23"/>
      <c r="D89" s="23"/>
      <c r="E89" s="66">
        <v>0</v>
      </c>
      <c r="F89" s="114"/>
      <c r="H89" s="9"/>
    </row>
    <row r="90" spans="1:8">
      <c r="A90" s="23"/>
      <c r="B90" s="27"/>
      <c r="D90" s="23"/>
      <c r="E90" s="101"/>
      <c r="F90" s="115"/>
      <c r="H90" s="9"/>
    </row>
    <row r="91" spans="1:8">
      <c r="A91" s="23"/>
      <c r="B91" s="29" t="s">
        <v>125</v>
      </c>
      <c r="C91" s="59">
        <f>C68+C76+C84</f>
        <v>4</v>
      </c>
      <c r="D91" s="23"/>
      <c r="E91" s="63"/>
      <c r="F91" s="55"/>
      <c r="H91" s="9"/>
    </row>
    <row r="92" spans="1:8" ht="15.75" thickBot="1">
      <c r="A92" s="23"/>
      <c r="B92" s="29" t="str">
        <f>'[4]5) Year 1-5 Staff Assumptions'!B79</f>
        <v>Total Compensation</v>
      </c>
      <c r="C92" s="42"/>
      <c r="D92" s="42"/>
      <c r="E92" s="54">
        <f>E68+E76+E84+SUM(E86:E89)</f>
        <v>236525</v>
      </c>
      <c r="F92" s="55"/>
      <c r="H92" s="9"/>
    </row>
    <row r="93" spans="1:8" ht="16.5" thickTop="1" thickBot="1">
      <c r="A93" s="23"/>
      <c r="B93" s="36"/>
      <c r="C93" s="37"/>
      <c r="D93" s="37"/>
      <c r="E93" s="133"/>
      <c r="F93" s="133"/>
      <c r="G93" s="21"/>
      <c r="H93" s="22"/>
    </row>
    <row r="94" spans="1:8">
      <c r="A94" s="23"/>
      <c r="B94" s="126"/>
      <c r="C94" s="127"/>
      <c r="D94" s="127"/>
      <c r="E94" s="128"/>
      <c r="F94" s="128"/>
      <c r="G94" s="6"/>
      <c r="H94" s="7"/>
    </row>
    <row r="95" spans="1:8" ht="14.85" customHeight="1">
      <c r="A95" s="23"/>
      <c r="B95" s="8"/>
      <c r="C95" s="751" t="s">
        <v>126</v>
      </c>
      <c r="D95" s="762"/>
      <c r="E95" s="762"/>
      <c r="F95" s="762"/>
      <c r="H95" s="9"/>
    </row>
    <row r="96" spans="1:8" ht="14.85" customHeight="1">
      <c r="A96" s="23"/>
      <c r="B96" s="8"/>
      <c r="H96" s="9"/>
    </row>
    <row r="97" spans="1:8">
      <c r="A97" s="23"/>
      <c r="B97" s="8"/>
      <c r="E97" s="25" t="s">
        <v>85</v>
      </c>
      <c r="F97" s="41"/>
      <c r="H97" s="9"/>
    </row>
    <row r="98" spans="1:8">
      <c r="A98" s="23"/>
      <c r="B98" s="24"/>
      <c r="C98" s="42"/>
      <c r="D98" s="1"/>
      <c r="E98" s="56" t="str">
        <f>E11</f>
        <v>2023-24</v>
      </c>
      <c r="F98" s="26"/>
      <c r="H98" s="9"/>
    </row>
    <row r="99" spans="1:8">
      <c r="A99" s="23"/>
      <c r="B99" s="24"/>
      <c r="C99" s="42"/>
      <c r="D99" s="1"/>
      <c r="E99" s="26"/>
      <c r="H99" s="9"/>
    </row>
    <row r="100" spans="1:8">
      <c r="A100" s="23"/>
      <c r="B100" s="24"/>
      <c r="C100" s="42" t="s">
        <v>127</v>
      </c>
      <c r="D100" s="1"/>
      <c r="E100" s="26"/>
      <c r="F100" s="47" t="s">
        <v>91</v>
      </c>
      <c r="H100" s="9"/>
    </row>
    <row r="101" spans="1:8">
      <c r="A101" s="23"/>
      <c r="B101" s="34" t="str">
        <f>'[4]5) Year 1-5 Staff Assumptions'!B86</f>
        <v xml:space="preserve">Social Security </v>
      </c>
      <c r="C101" s="69">
        <v>6.2E-2</v>
      </c>
      <c r="D101" s="45"/>
      <c r="E101" s="65">
        <f>C101*E92</f>
        <v>14664.55</v>
      </c>
      <c r="F101" s="106"/>
      <c r="H101" s="9"/>
    </row>
    <row r="102" spans="1:8">
      <c r="A102" s="23"/>
      <c r="B102" s="34" t="str">
        <f>'[4]5) Year 1-5 Staff Assumptions'!B87</f>
        <v>Medicare</v>
      </c>
      <c r="C102" s="69">
        <v>1.4500000000000001E-2</v>
      </c>
      <c r="D102" s="45"/>
      <c r="E102" s="65">
        <f>C102*E92</f>
        <v>3429.6125000000002</v>
      </c>
      <c r="F102" s="106"/>
      <c r="H102" s="9"/>
    </row>
    <row r="103" spans="1:8">
      <c r="A103" s="23"/>
      <c r="B103" s="34" t="str">
        <f>'[4]5) Year 1-5 Staff Assumptions'!B88</f>
        <v>State Unemployment</v>
      </c>
      <c r="C103" s="159">
        <v>7.3000000000000001E-3</v>
      </c>
      <c r="D103" s="45"/>
      <c r="E103" s="65">
        <f>C103*E92</f>
        <v>1726.6324999999999</v>
      </c>
      <c r="F103" s="106"/>
      <c r="H103" s="9"/>
    </row>
    <row r="104" spans="1:8">
      <c r="A104" s="23"/>
      <c r="B104" s="34" t="str">
        <f>'[4]5) Year 1-5 Staff Assumptions'!B89</f>
        <v>Disability/Life Insurance</v>
      </c>
      <c r="C104" s="69">
        <v>3.3E-3</v>
      </c>
      <c r="D104" s="45"/>
      <c r="E104" s="65">
        <f>C104*E92</f>
        <v>780.53250000000003</v>
      </c>
      <c r="F104" s="106"/>
      <c r="H104" s="9"/>
    </row>
    <row r="105" spans="1:8">
      <c r="A105" s="23"/>
      <c r="B105" s="34" t="str">
        <f>'[4]5) Year 1-5 Staff Assumptions'!B90</f>
        <v>Workers Compensation Insurance</v>
      </c>
      <c r="C105" s="69">
        <v>3.3999999999999998E-3</v>
      </c>
      <c r="D105" s="45"/>
      <c r="E105" s="65">
        <f>C105*E92</f>
        <v>804.18499999999995</v>
      </c>
      <c r="F105" s="106"/>
      <c r="H105" s="9"/>
    </row>
    <row r="106" spans="1:8">
      <c r="A106" s="23"/>
      <c r="B106" s="34" t="str">
        <f>'[4]5) Year 1-5 Staff Assumptions'!B91</f>
        <v>Other Fringe Benefits</v>
      </c>
      <c r="C106" s="69">
        <v>0</v>
      </c>
      <c r="D106" s="45"/>
      <c r="E106" s="65">
        <f>C106*E92</f>
        <v>0</v>
      </c>
      <c r="F106" s="106"/>
      <c r="H106" s="9"/>
    </row>
    <row r="107" spans="1:8">
      <c r="A107" s="23"/>
      <c r="B107" s="34" t="str">
        <f>'[4]5) Year 1-5 Staff Assumptions'!B96</f>
        <v>Medical Insurance</v>
      </c>
      <c r="C107" s="65">
        <v>7229</v>
      </c>
      <c r="D107" s="45"/>
      <c r="E107" s="65">
        <f>(C107*C91)</f>
        <v>28916</v>
      </c>
      <c r="F107" s="106"/>
      <c r="H107" s="9"/>
    </row>
    <row r="108" spans="1:8">
      <c r="A108" s="23"/>
      <c r="B108" s="34" t="str">
        <f>'[4]5) Year 1-5 Staff Assumptions'!B97</f>
        <v>Dental Insurance</v>
      </c>
      <c r="C108" s="65">
        <v>545</v>
      </c>
      <c r="D108" s="45"/>
      <c r="E108" s="65">
        <f>(C108*C91)</f>
        <v>2180</v>
      </c>
      <c r="F108" s="106"/>
      <c r="H108" s="9"/>
    </row>
    <row r="109" spans="1:8">
      <c r="A109" s="23"/>
      <c r="B109" s="34" t="str">
        <f>'[4]5) Year 1-5 Staff Assumptions'!B98</f>
        <v>Vision Insurance</v>
      </c>
      <c r="C109" s="65">
        <v>0</v>
      </c>
      <c r="D109" s="45"/>
      <c r="E109" s="65">
        <v>0</v>
      </c>
      <c r="F109" s="106"/>
      <c r="H109" s="9"/>
    </row>
    <row r="110" spans="1:8">
      <c r="A110" s="23"/>
      <c r="B110" s="34" t="str">
        <f>'[4]5) Year 1-5 Staff Assumptions'!B105</f>
        <v>Other Retirement</v>
      </c>
      <c r="C110" s="69">
        <v>0.09</v>
      </c>
      <c r="D110" s="45"/>
      <c r="E110" s="65">
        <f>C110*E92</f>
        <v>21287.25</v>
      </c>
      <c r="F110" s="106"/>
      <c r="H110" s="9"/>
    </row>
    <row r="111" spans="1:8">
      <c r="B111" s="8"/>
      <c r="H111" s="9"/>
    </row>
    <row r="112" spans="1:8" ht="15.75" thickBot="1">
      <c r="B112" s="29" t="s">
        <v>129</v>
      </c>
      <c r="C112" s="42"/>
      <c r="D112" s="42"/>
      <c r="E112" s="54">
        <f>SUM(E101:E110)</f>
        <v>73788.762499999997</v>
      </c>
      <c r="F112" s="55"/>
      <c r="H112" s="9"/>
    </row>
    <row r="113" spans="1:8" ht="16.5" thickTop="1" thickBot="1">
      <c r="B113" s="134"/>
      <c r="C113" s="135"/>
      <c r="D113" s="135"/>
      <c r="E113" s="136"/>
      <c r="F113" s="136"/>
      <c r="G113" s="21"/>
      <c r="H113" s="22"/>
    </row>
    <row r="114" spans="1:8">
      <c r="B114" s="137"/>
      <c r="C114" s="138"/>
      <c r="D114" s="138"/>
      <c r="E114" s="139"/>
      <c r="F114" s="139"/>
      <c r="G114" s="6"/>
      <c r="H114" s="7"/>
    </row>
    <row r="115" spans="1:8" ht="15" customHeight="1">
      <c r="B115" s="29"/>
      <c r="C115" s="751" t="s">
        <v>130</v>
      </c>
      <c r="D115" s="767"/>
      <c r="E115" s="767"/>
      <c r="F115" s="767"/>
      <c r="H115" s="9"/>
    </row>
    <row r="116" spans="1:8">
      <c r="B116" s="29"/>
      <c r="C116" s="42"/>
      <c r="D116" s="42"/>
      <c r="E116" s="42"/>
      <c r="F116" s="42"/>
      <c r="G116" s="42"/>
      <c r="H116" s="9"/>
    </row>
    <row r="117" spans="1:8">
      <c r="B117" s="29"/>
      <c r="C117" s="42"/>
      <c r="D117" s="42"/>
      <c r="E117" s="25" t="s">
        <v>85</v>
      </c>
      <c r="F117" s="41"/>
      <c r="G117" s="42"/>
      <c r="H117" s="9"/>
    </row>
    <row r="118" spans="1:8">
      <c r="B118" s="29"/>
      <c r="C118" s="42"/>
      <c r="D118" s="42"/>
      <c r="E118" s="56" t="str">
        <f>E11</f>
        <v>2023-24</v>
      </c>
      <c r="F118" s="26"/>
      <c r="G118" s="42"/>
      <c r="H118" s="9"/>
    </row>
    <row r="119" spans="1:8" hidden="1">
      <c r="A119" s="23"/>
      <c r="B119" s="24"/>
      <c r="C119" s="42" t="s">
        <v>131</v>
      </c>
      <c r="D119" s="1"/>
      <c r="E119" s="43">
        <v>0</v>
      </c>
      <c r="H119" s="9"/>
    </row>
    <row r="120" spans="1:8" hidden="1">
      <c r="A120" s="23"/>
      <c r="B120" s="24"/>
      <c r="C120" s="45" t="s">
        <v>87</v>
      </c>
      <c r="D120" s="1"/>
      <c r="E120" s="46">
        <f>100%+E119</f>
        <v>1</v>
      </c>
      <c r="F120" s="46"/>
      <c r="H120" s="9"/>
    </row>
    <row r="121" spans="1:8">
      <c r="B121" s="29"/>
      <c r="C121" s="42"/>
      <c r="D121" s="42"/>
      <c r="E121" s="55"/>
      <c r="F121" s="55"/>
      <c r="H121" s="9"/>
    </row>
    <row r="122" spans="1:8">
      <c r="B122" s="29" t="s">
        <v>132</v>
      </c>
      <c r="C122" s="42"/>
      <c r="D122" s="42"/>
      <c r="E122" s="55"/>
      <c r="F122" s="47" t="s">
        <v>91</v>
      </c>
      <c r="H122" s="9"/>
    </row>
    <row r="123" spans="1:8">
      <c r="B123" s="67" t="s">
        <v>133</v>
      </c>
      <c r="C123" s="65">
        <v>0</v>
      </c>
      <c r="E123" s="65">
        <v>0</v>
      </c>
      <c r="F123" s="106"/>
      <c r="H123" s="9"/>
    </row>
    <row r="124" spans="1:8">
      <c r="B124" s="67" t="s">
        <v>134</v>
      </c>
      <c r="C124" s="65">
        <v>8000</v>
      </c>
      <c r="E124" s="65">
        <v>8000</v>
      </c>
      <c r="F124" s="106" t="s">
        <v>767</v>
      </c>
      <c r="H124" s="9"/>
    </row>
    <row r="125" spans="1:8">
      <c r="B125" s="67" t="s">
        <v>135</v>
      </c>
      <c r="C125" s="65">
        <v>12000</v>
      </c>
      <c r="E125" s="65">
        <v>12000</v>
      </c>
      <c r="F125" s="106" t="s">
        <v>732</v>
      </c>
      <c r="H125" s="9"/>
    </row>
    <row r="126" spans="1:8">
      <c r="B126" s="67" t="s">
        <v>136</v>
      </c>
      <c r="C126" s="65">
        <v>10000</v>
      </c>
      <c r="E126" s="65">
        <v>10000</v>
      </c>
      <c r="F126" s="106"/>
      <c r="H126" s="9"/>
    </row>
    <row r="127" spans="1:8">
      <c r="B127" s="67" t="s">
        <v>137</v>
      </c>
      <c r="C127" s="65">
        <v>2426</v>
      </c>
      <c r="E127" s="65">
        <v>2436</v>
      </c>
      <c r="F127" s="106" t="s">
        <v>729</v>
      </c>
      <c r="H127" s="9"/>
    </row>
    <row r="128" spans="1:8">
      <c r="B128" s="67" t="s">
        <v>138</v>
      </c>
      <c r="C128" s="65">
        <v>0</v>
      </c>
      <c r="E128" s="65">
        <v>0</v>
      </c>
      <c r="F128" s="106" t="s">
        <v>733</v>
      </c>
      <c r="H128" s="9"/>
    </row>
    <row r="129" spans="2:8">
      <c r="B129" s="67" t="s">
        <v>139</v>
      </c>
      <c r="C129" s="65">
        <v>0</v>
      </c>
      <c r="E129" s="65">
        <v>600</v>
      </c>
      <c r="F129" s="106"/>
      <c r="H129" s="9"/>
    </row>
    <row r="130" spans="2:8">
      <c r="B130" s="67" t="s">
        <v>140</v>
      </c>
      <c r="C130" s="65">
        <v>0</v>
      </c>
      <c r="E130" s="65">
        <v>0</v>
      </c>
      <c r="F130" s="106"/>
      <c r="H130" s="9"/>
    </row>
    <row r="131" spans="2:8">
      <c r="B131" s="67" t="s">
        <v>141</v>
      </c>
      <c r="C131" s="65">
        <v>0</v>
      </c>
      <c r="E131" s="65">
        <v>0</v>
      </c>
      <c r="F131" s="106"/>
      <c r="H131" s="9"/>
    </row>
    <row r="132" spans="2:8">
      <c r="B132" s="67" t="s">
        <v>142</v>
      </c>
      <c r="C132" s="65">
        <v>0</v>
      </c>
      <c r="E132" s="65">
        <v>0</v>
      </c>
      <c r="F132" s="106"/>
      <c r="H132" s="9"/>
    </row>
    <row r="133" spans="2:8">
      <c r="B133" s="67" t="s">
        <v>143</v>
      </c>
      <c r="C133" s="65">
        <v>6362</v>
      </c>
      <c r="E133" s="65">
        <v>6362</v>
      </c>
      <c r="F133" s="106" t="s">
        <v>738</v>
      </c>
      <c r="H133" s="9"/>
    </row>
    <row r="134" spans="2:8">
      <c r="B134" s="67" t="s">
        <v>144</v>
      </c>
      <c r="C134" s="65">
        <v>0</v>
      </c>
      <c r="E134" s="65">
        <v>0</v>
      </c>
      <c r="F134" s="106"/>
      <c r="H134" s="9"/>
    </row>
    <row r="135" spans="2:8">
      <c r="B135" s="67" t="s">
        <v>145</v>
      </c>
      <c r="C135" s="65">
        <v>0</v>
      </c>
      <c r="E135" s="65">
        <v>0</v>
      </c>
      <c r="F135" s="106"/>
      <c r="H135" s="9"/>
    </row>
    <row r="136" spans="2:8">
      <c r="B136" s="67" t="s">
        <v>146</v>
      </c>
      <c r="C136" s="65">
        <v>1261</v>
      </c>
      <c r="E136" s="65">
        <v>1261</v>
      </c>
      <c r="F136" s="106" t="s">
        <v>731</v>
      </c>
      <c r="H136" s="9"/>
    </row>
    <row r="137" spans="2:8">
      <c r="B137" s="67" t="s">
        <v>369</v>
      </c>
      <c r="C137" s="65">
        <v>40000</v>
      </c>
      <c r="E137" s="65">
        <v>40000</v>
      </c>
      <c r="F137" s="106"/>
      <c r="H137" s="9"/>
    </row>
    <row r="138" spans="2:8">
      <c r="B138" s="67" t="s">
        <v>766</v>
      </c>
      <c r="C138" s="65">
        <v>48888</v>
      </c>
      <c r="E138" s="65">
        <v>48888</v>
      </c>
      <c r="F138" s="106" t="s">
        <v>768</v>
      </c>
      <c r="H138" s="9"/>
    </row>
    <row r="139" spans="2:8">
      <c r="B139" s="29"/>
      <c r="C139" s="42"/>
      <c r="D139" s="42"/>
      <c r="E139" s="55"/>
      <c r="F139" s="112"/>
      <c r="H139" s="9"/>
    </row>
    <row r="140" spans="2:8">
      <c r="B140" s="29" t="s">
        <v>148</v>
      </c>
      <c r="C140" s="42"/>
      <c r="D140" s="42"/>
      <c r="E140" s="55"/>
      <c r="F140" s="112"/>
      <c r="H140" s="9"/>
    </row>
    <row r="141" spans="2:8">
      <c r="B141" s="67" t="s">
        <v>149</v>
      </c>
      <c r="C141" s="65">
        <v>0</v>
      </c>
      <c r="E141" s="65">
        <v>0</v>
      </c>
      <c r="F141" s="106"/>
      <c r="H141" s="9"/>
    </row>
    <row r="142" spans="2:8">
      <c r="B142" s="67" t="s">
        <v>150</v>
      </c>
      <c r="C142" s="65">
        <v>0</v>
      </c>
      <c r="E142" s="65">
        <v>0</v>
      </c>
      <c r="F142" s="106"/>
      <c r="H142" s="9"/>
    </row>
    <row r="143" spans="2:8">
      <c r="B143" s="67" t="s">
        <v>151</v>
      </c>
      <c r="C143" s="65">
        <v>0</v>
      </c>
      <c r="E143" s="65">
        <v>0</v>
      </c>
      <c r="F143" s="106"/>
      <c r="H143" s="9"/>
    </row>
    <row r="144" spans="2:8">
      <c r="B144" s="67" t="s">
        <v>152</v>
      </c>
      <c r="C144" s="65">
        <v>3000</v>
      </c>
      <c r="E144" s="65">
        <v>3000</v>
      </c>
      <c r="F144" s="106"/>
      <c r="H144" s="9"/>
    </row>
    <row r="145" spans="2:8">
      <c r="B145" s="67" t="s">
        <v>153</v>
      </c>
      <c r="C145" s="65">
        <v>0</v>
      </c>
      <c r="E145" s="65">
        <v>0</v>
      </c>
      <c r="F145" s="106"/>
      <c r="H145" s="9"/>
    </row>
    <row r="146" spans="2:8">
      <c r="B146" s="67" t="s">
        <v>154</v>
      </c>
      <c r="C146" s="65">
        <v>0</v>
      </c>
      <c r="E146" s="65">
        <v>0</v>
      </c>
      <c r="F146" s="106"/>
      <c r="H146" s="9"/>
    </row>
    <row r="147" spans="2:8">
      <c r="B147" s="67" t="s">
        <v>155</v>
      </c>
      <c r="C147" s="65">
        <v>0</v>
      </c>
      <c r="E147" s="65">
        <v>0</v>
      </c>
      <c r="F147" s="106"/>
      <c r="H147" s="9"/>
    </row>
    <row r="148" spans="2:8">
      <c r="B148" s="67" t="s">
        <v>156</v>
      </c>
      <c r="C148" s="65">
        <v>4500</v>
      </c>
      <c r="E148" s="65">
        <v>4500</v>
      </c>
      <c r="F148" s="106"/>
      <c r="H148" s="9"/>
    </row>
    <row r="149" spans="2:8">
      <c r="B149" s="67" t="s">
        <v>157</v>
      </c>
      <c r="C149" s="65">
        <v>1800</v>
      </c>
      <c r="E149" s="65">
        <v>1800</v>
      </c>
      <c r="F149" s="106"/>
      <c r="H149" s="9"/>
    </row>
    <row r="150" spans="2:8">
      <c r="B150" s="67" t="s">
        <v>158</v>
      </c>
      <c r="C150" s="65">
        <v>0</v>
      </c>
      <c r="E150" s="65">
        <v>0</v>
      </c>
      <c r="F150" s="106"/>
      <c r="H150" s="9"/>
    </row>
    <row r="151" spans="2:8">
      <c r="B151" s="67" t="s">
        <v>159</v>
      </c>
      <c r="C151" s="65">
        <v>12320</v>
      </c>
      <c r="E151" s="65">
        <v>12320</v>
      </c>
      <c r="F151" s="106" t="s">
        <v>737</v>
      </c>
      <c r="H151" s="9"/>
    </row>
    <row r="152" spans="2:8">
      <c r="B152" s="67" t="s">
        <v>160</v>
      </c>
      <c r="C152" s="65">
        <v>0</v>
      </c>
      <c r="E152" s="65">
        <v>0</v>
      </c>
      <c r="F152" s="106"/>
      <c r="H152" s="9"/>
    </row>
    <row r="153" spans="2:8">
      <c r="B153" s="67" t="s">
        <v>161</v>
      </c>
      <c r="C153" s="65">
        <v>0</v>
      </c>
      <c r="E153" s="65">
        <v>0</v>
      </c>
      <c r="F153" s="106"/>
      <c r="H153" s="9"/>
    </row>
    <row r="154" spans="2:8">
      <c r="B154" s="67" t="s">
        <v>162</v>
      </c>
      <c r="C154" s="65">
        <v>0</v>
      </c>
      <c r="E154" s="65">
        <v>0</v>
      </c>
      <c r="F154" s="106"/>
      <c r="H154" s="9"/>
    </row>
    <row r="155" spans="2:8">
      <c r="B155" s="67" t="s">
        <v>163</v>
      </c>
      <c r="C155" s="65">
        <v>0</v>
      </c>
      <c r="E155" s="65">
        <v>0</v>
      </c>
      <c r="F155" s="106"/>
      <c r="H155" s="9"/>
    </row>
    <row r="156" spans="2:8" ht="15.75" thickBot="1">
      <c r="B156" s="134"/>
      <c r="C156" s="135"/>
      <c r="D156" s="135"/>
      <c r="E156" s="136"/>
      <c r="F156" s="140"/>
      <c r="G156" s="21"/>
      <c r="H156" s="22"/>
    </row>
    <row r="157" spans="2:8">
      <c r="B157" s="137" t="s">
        <v>164</v>
      </c>
      <c r="C157" s="138"/>
      <c r="D157" s="138"/>
      <c r="E157" s="139"/>
      <c r="F157" s="141"/>
      <c r="G157" s="6"/>
      <c r="H157" s="7"/>
    </row>
    <row r="158" spans="2:8">
      <c r="B158" s="67" t="s">
        <v>165</v>
      </c>
      <c r="C158" s="65">
        <v>10000</v>
      </c>
      <c r="E158" s="65">
        <v>10000</v>
      </c>
      <c r="F158" s="106"/>
      <c r="H158" s="9"/>
    </row>
    <row r="159" spans="2:8">
      <c r="B159" s="67" t="s">
        <v>166</v>
      </c>
      <c r="C159" s="65">
        <v>0</v>
      </c>
      <c r="E159" s="65">
        <v>0</v>
      </c>
      <c r="F159" s="106"/>
      <c r="H159" s="9"/>
    </row>
    <row r="160" spans="2:8">
      <c r="B160" s="67" t="s">
        <v>167</v>
      </c>
      <c r="C160" s="65">
        <v>0</v>
      </c>
      <c r="E160" s="65">
        <v>0</v>
      </c>
      <c r="F160" s="106"/>
      <c r="H160" s="9"/>
    </row>
    <row r="161" spans="2:8">
      <c r="B161" s="67" t="s">
        <v>168</v>
      </c>
      <c r="C161" s="65">
        <v>0</v>
      </c>
      <c r="E161" s="65">
        <v>0</v>
      </c>
      <c r="F161" s="106"/>
      <c r="H161" s="9"/>
    </row>
    <row r="162" spans="2:8">
      <c r="B162" s="67" t="s">
        <v>169</v>
      </c>
      <c r="C162" s="65">
        <v>0</v>
      </c>
      <c r="E162" s="65">
        <v>0</v>
      </c>
      <c r="F162" s="106"/>
      <c r="H162" s="9"/>
    </row>
    <row r="163" spans="2:8">
      <c r="B163" s="67" t="s">
        <v>170</v>
      </c>
      <c r="C163" s="65">
        <v>0</v>
      </c>
      <c r="E163" s="65">
        <v>0</v>
      </c>
      <c r="F163" s="106"/>
      <c r="H163" s="9"/>
    </row>
    <row r="164" spans="2:8">
      <c r="B164" s="67" t="s">
        <v>171</v>
      </c>
      <c r="C164" s="65">
        <v>3600</v>
      </c>
      <c r="E164" s="65">
        <v>3600</v>
      </c>
      <c r="F164" s="106"/>
      <c r="H164" s="9"/>
    </row>
    <row r="165" spans="2:8">
      <c r="B165" s="67" t="s">
        <v>172</v>
      </c>
      <c r="C165" s="65">
        <v>2436</v>
      </c>
      <c r="E165" s="65">
        <v>2436</v>
      </c>
      <c r="F165" s="106" t="s">
        <v>765</v>
      </c>
      <c r="H165" s="9"/>
    </row>
    <row r="166" spans="2:8">
      <c r="B166" s="67" t="s">
        <v>173</v>
      </c>
      <c r="C166" s="65">
        <v>0</v>
      </c>
      <c r="E166" s="65">
        <v>0</v>
      </c>
      <c r="F166" s="106"/>
      <c r="H166" s="9"/>
    </row>
    <row r="167" spans="2:8">
      <c r="B167" s="67" t="s">
        <v>174</v>
      </c>
      <c r="C167" s="65">
        <v>0</v>
      </c>
      <c r="E167" s="65">
        <v>0</v>
      </c>
      <c r="F167" s="106"/>
      <c r="H167" s="9"/>
    </row>
    <row r="168" spans="2:8">
      <c r="B168" s="67" t="s">
        <v>740</v>
      </c>
      <c r="C168" s="65">
        <v>0</v>
      </c>
      <c r="E168" s="65">
        <v>0</v>
      </c>
      <c r="F168" s="106"/>
      <c r="H168" s="9"/>
    </row>
    <row r="169" spans="2:8">
      <c r="B169" s="67" t="s">
        <v>742</v>
      </c>
      <c r="C169" s="65">
        <v>0</v>
      </c>
      <c r="E169" s="65">
        <v>0</v>
      </c>
      <c r="F169" s="106"/>
      <c r="H169" s="9"/>
    </row>
    <row r="170" spans="2:8">
      <c r="B170" s="67" t="s">
        <v>96</v>
      </c>
      <c r="C170" s="65">
        <v>0</v>
      </c>
      <c r="E170" s="65">
        <v>0</v>
      </c>
      <c r="F170" s="106"/>
      <c r="H170" s="9"/>
    </row>
    <row r="171" spans="2:8">
      <c r="B171" s="67" t="s">
        <v>96</v>
      </c>
      <c r="C171" s="65">
        <v>0</v>
      </c>
      <c r="E171" s="65">
        <v>0</v>
      </c>
      <c r="F171" s="106"/>
      <c r="H171" s="9"/>
    </row>
    <row r="172" spans="2:8">
      <c r="B172" s="67" t="s">
        <v>96</v>
      </c>
      <c r="C172" s="65">
        <v>0</v>
      </c>
      <c r="E172" s="65">
        <v>0</v>
      </c>
      <c r="F172" s="106"/>
      <c r="H172" s="9"/>
    </row>
    <row r="173" spans="2:8">
      <c r="B173" s="29"/>
      <c r="C173" s="42"/>
      <c r="D173" s="42"/>
      <c r="E173" s="55"/>
      <c r="F173" s="112"/>
      <c r="H173" s="9"/>
    </row>
    <row r="174" spans="2:8">
      <c r="B174" s="29" t="s">
        <v>175</v>
      </c>
      <c r="C174" s="42"/>
      <c r="D174" s="42"/>
      <c r="E174" s="55"/>
      <c r="F174" s="112"/>
      <c r="H174" s="9"/>
    </row>
    <row r="175" spans="2:8">
      <c r="B175" s="67" t="s">
        <v>176</v>
      </c>
      <c r="C175" s="65">
        <v>3000</v>
      </c>
      <c r="E175" s="65">
        <v>3000</v>
      </c>
      <c r="F175" s="106"/>
      <c r="H175" s="9"/>
    </row>
    <row r="176" spans="2:8">
      <c r="B176" s="67" t="s">
        <v>177</v>
      </c>
      <c r="C176" s="65">
        <v>3000</v>
      </c>
      <c r="E176" s="65">
        <v>3000</v>
      </c>
      <c r="F176" s="106" t="s">
        <v>736</v>
      </c>
      <c r="H176" s="9"/>
    </row>
    <row r="177" spans="2:8">
      <c r="B177" s="67" t="s">
        <v>178</v>
      </c>
      <c r="C177" s="65">
        <v>3000</v>
      </c>
      <c r="E177" s="65">
        <v>3000</v>
      </c>
      <c r="F177" s="106"/>
      <c r="H177" s="9"/>
    </row>
    <row r="178" spans="2:8">
      <c r="B178" s="67" t="s">
        <v>179</v>
      </c>
      <c r="C178" s="65">
        <v>0</v>
      </c>
      <c r="E178" s="65">
        <v>0</v>
      </c>
      <c r="F178" s="106"/>
      <c r="H178" s="9"/>
    </row>
    <row r="179" spans="2:8">
      <c r="B179" s="67" t="s">
        <v>744</v>
      </c>
      <c r="C179" s="65">
        <v>900</v>
      </c>
      <c r="E179" s="65">
        <v>900</v>
      </c>
      <c r="F179" s="106" t="s">
        <v>769</v>
      </c>
      <c r="H179" s="9"/>
    </row>
    <row r="180" spans="2:8">
      <c r="B180" s="29"/>
      <c r="C180" s="42"/>
      <c r="D180" s="42"/>
      <c r="E180" s="55"/>
      <c r="F180" s="112"/>
      <c r="H180" s="9"/>
    </row>
    <row r="181" spans="2:8">
      <c r="B181" s="29" t="s">
        <v>180</v>
      </c>
      <c r="C181" s="42"/>
      <c r="D181" s="42"/>
      <c r="E181" s="55"/>
      <c r="F181" s="112"/>
      <c r="H181" s="9"/>
    </row>
    <row r="182" spans="2:8">
      <c r="B182" s="67" t="s">
        <v>96</v>
      </c>
      <c r="C182" s="65">
        <v>0</v>
      </c>
      <c r="E182" s="65">
        <v>0</v>
      </c>
      <c r="F182" s="106"/>
      <c r="H182" s="9"/>
    </row>
    <row r="183" spans="2:8">
      <c r="B183" s="67" t="s">
        <v>96</v>
      </c>
      <c r="C183" s="65">
        <v>0</v>
      </c>
      <c r="E183" s="65">
        <v>0</v>
      </c>
      <c r="F183" s="106"/>
      <c r="H183" s="9"/>
    </row>
    <row r="184" spans="2:8">
      <c r="B184" s="67" t="s">
        <v>96</v>
      </c>
      <c r="C184" s="65">
        <v>0</v>
      </c>
      <c r="E184" s="65">
        <v>0</v>
      </c>
      <c r="F184" s="106"/>
      <c r="H184" s="9"/>
    </row>
    <row r="185" spans="2:8">
      <c r="B185" s="67" t="s">
        <v>96</v>
      </c>
      <c r="C185" s="65">
        <v>0</v>
      </c>
      <c r="E185" s="65">
        <v>0</v>
      </c>
      <c r="F185" s="106"/>
      <c r="H185" s="9"/>
    </row>
    <row r="186" spans="2:8">
      <c r="B186" s="67" t="s">
        <v>96</v>
      </c>
      <c r="C186" s="65">
        <v>0</v>
      </c>
      <c r="E186" s="65">
        <v>0</v>
      </c>
      <c r="F186" s="106"/>
      <c r="H186" s="9"/>
    </row>
    <row r="187" spans="2:8">
      <c r="B187" s="29"/>
      <c r="C187" s="42"/>
      <c r="D187" s="42"/>
      <c r="E187" s="55"/>
      <c r="F187" s="55"/>
      <c r="H187" s="9"/>
    </row>
    <row r="188" spans="2:8" ht="15.75" thickBot="1">
      <c r="B188" s="29" t="s">
        <v>181</v>
      </c>
      <c r="C188" s="42"/>
      <c r="D188" s="42"/>
      <c r="E188" s="54">
        <f>SUM(E123:E138,E141:E155,E158:E172,E175:E179,E182:E186)</f>
        <v>177103</v>
      </c>
      <c r="F188" s="55"/>
      <c r="H188" s="9"/>
    </row>
    <row r="189" spans="2:8" ht="15.75" thickTop="1">
      <c r="B189" s="29"/>
      <c r="C189" s="42"/>
      <c r="D189" s="42"/>
      <c r="E189" s="55"/>
      <c r="F189" s="55"/>
      <c r="H189" s="9"/>
    </row>
    <row r="190" spans="2:8" ht="19.5" thickBot="1">
      <c r="B190" s="64" t="s">
        <v>182</v>
      </c>
      <c r="C190" s="42"/>
      <c r="D190" s="42"/>
      <c r="E190" s="54">
        <f>E92+E112+E188</f>
        <v>487416.76250000001</v>
      </c>
      <c r="F190" s="55"/>
      <c r="H190" s="9"/>
    </row>
    <row r="191" spans="2:8" ht="16.5" thickTop="1" thickBot="1">
      <c r="B191" s="20"/>
      <c r="C191" s="21"/>
      <c r="D191" s="21"/>
      <c r="E191" s="21"/>
      <c r="F191" s="21"/>
      <c r="G191" s="21"/>
      <c r="H191" s="22"/>
    </row>
    <row r="195" spans="5:5">
      <c r="E195" s="122"/>
    </row>
    <row r="197" spans="5:5">
      <c r="E197" s="679">
        <f>E48-E190</f>
        <v>257583.23749999999</v>
      </c>
    </row>
    <row r="198" spans="5:5">
      <c r="E198" t="s">
        <v>803</v>
      </c>
    </row>
  </sheetData>
  <mergeCells count="6">
    <mergeCell ref="C8:F8"/>
    <mergeCell ref="C57:F57"/>
    <mergeCell ref="C95:F95"/>
    <mergeCell ref="C115:F115"/>
    <mergeCell ref="C51:F55"/>
    <mergeCell ref="C50:F50"/>
  </mergeCells>
  <pageMargins left="0.7" right="0.7" top="0.75" bottom="0.75" header="0.3" footer="0.3"/>
  <pageSetup scale="57" fitToHeight="0" orientation="landscape" horizontalDpi="1200" verticalDpi="1200" r:id="rId1"/>
  <headerFooter>
    <oddFooter>&amp;L&amp;A&amp;RPage &amp;P of &amp;N</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pageSetUpPr fitToPage="1"/>
  </sheetPr>
  <dimension ref="A1:U224"/>
  <sheetViews>
    <sheetView showGridLines="0" topLeftCell="A183" zoomScale="75" zoomScaleNormal="75" zoomScaleSheetLayoutView="85" workbookViewId="0">
      <selection activeCell="T210" sqref="T210"/>
    </sheetView>
  </sheetViews>
  <sheetFormatPr defaultColWidth="8.7109375" defaultRowHeight="15"/>
  <cols>
    <col min="1" max="1" width="4.7109375" customWidth="1"/>
    <col min="2" max="2" width="42.28515625" bestFit="1" customWidth="1"/>
    <col min="3" max="3" width="3" hidden="1" customWidth="1"/>
    <col min="4" max="4" width="3.28515625" hidden="1" customWidth="1"/>
    <col min="5" max="19" width="12.7109375" customWidth="1"/>
    <col min="20" max="20" width="43.7109375" bestFit="1" customWidth="1"/>
    <col min="21" max="22" width="4.7109375" customWidth="1"/>
  </cols>
  <sheetData>
    <row r="1" spans="1:21" ht="15.75" thickBot="1"/>
    <row r="2" spans="1:21">
      <c r="B2" s="5"/>
      <c r="C2" s="6"/>
      <c r="D2" s="6"/>
      <c r="E2" s="6"/>
      <c r="F2" s="6"/>
      <c r="G2" s="6"/>
      <c r="H2" s="6"/>
      <c r="I2" s="6"/>
      <c r="J2" s="6"/>
      <c r="K2" s="6"/>
      <c r="L2" s="6"/>
      <c r="M2" s="6"/>
      <c r="N2" s="6"/>
      <c r="O2" s="6"/>
      <c r="P2" s="6"/>
      <c r="Q2" s="6"/>
      <c r="R2" s="6"/>
      <c r="S2" s="6"/>
      <c r="T2" s="6"/>
      <c r="U2" s="7"/>
    </row>
    <row r="3" spans="1:21">
      <c r="B3" s="8"/>
      <c r="E3" s="784" t="str">
        <f>IF('1) Proposed School Information'!E12="","ENTER SCHOOL NAME ON PROPOSED SCHOOL INFO SHEET",'1) Proposed School Information'!E12)</f>
        <v>Knoxville Prep</v>
      </c>
      <c r="F3" s="784"/>
      <c r="G3" s="754"/>
      <c r="H3" s="754"/>
      <c r="I3" s="754"/>
      <c r="J3" s="754"/>
      <c r="K3" s="754"/>
      <c r="L3" s="754"/>
      <c r="M3" s="754"/>
      <c r="N3" s="754"/>
      <c r="O3" s="754"/>
      <c r="P3" s="754"/>
      <c r="Q3" s="754"/>
      <c r="R3" s="754"/>
      <c r="S3" s="754"/>
      <c r="U3" s="9"/>
    </row>
    <row r="4" spans="1:21">
      <c r="B4" s="8"/>
      <c r="E4" s="784" t="s">
        <v>14</v>
      </c>
      <c r="F4" s="784"/>
      <c r="G4" s="754"/>
      <c r="H4" s="754"/>
      <c r="I4" s="754"/>
      <c r="J4" s="754"/>
      <c r="K4" s="754"/>
      <c r="L4" s="754"/>
      <c r="M4" s="754"/>
      <c r="N4" s="754"/>
      <c r="O4" s="754"/>
      <c r="P4" s="754"/>
      <c r="Q4" s="754"/>
      <c r="R4" s="754"/>
      <c r="S4" s="754"/>
      <c r="U4" s="9"/>
    </row>
    <row r="5" spans="1:21">
      <c r="B5" s="8"/>
      <c r="E5" s="784" t="s">
        <v>183</v>
      </c>
      <c r="F5" s="784"/>
      <c r="G5" s="754"/>
      <c r="H5" s="754"/>
      <c r="I5" s="754"/>
      <c r="J5" s="754"/>
      <c r="K5" s="754"/>
      <c r="L5" s="754"/>
      <c r="M5" s="754"/>
      <c r="N5" s="754"/>
      <c r="O5" s="754"/>
      <c r="P5" s="754"/>
      <c r="Q5" s="754"/>
      <c r="R5" s="754"/>
      <c r="S5" s="754"/>
      <c r="U5" s="9"/>
    </row>
    <row r="6" spans="1:21">
      <c r="B6" s="8"/>
      <c r="E6" s="680"/>
      <c r="U6" s="9"/>
    </row>
    <row r="7" spans="1:21">
      <c r="B7" s="8"/>
      <c r="U7" s="9"/>
    </row>
    <row r="8" spans="1:21" ht="14.85" customHeight="1">
      <c r="B8" s="8"/>
      <c r="C8" s="123" t="s">
        <v>184</v>
      </c>
      <c r="D8" s="71"/>
      <c r="E8" s="785" t="s">
        <v>184</v>
      </c>
      <c r="F8" s="786"/>
      <c r="G8" s="786"/>
      <c r="H8" s="786"/>
      <c r="I8" s="786"/>
      <c r="J8" s="786"/>
      <c r="K8" s="786"/>
      <c r="L8" s="786"/>
      <c r="M8" s="786"/>
      <c r="N8" s="786"/>
      <c r="O8" s="786"/>
      <c r="P8" s="786"/>
      <c r="Q8" s="786"/>
      <c r="R8" s="786"/>
      <c r="S8" s="786"/>
      <c r="U8" s="9"/>
    </row>
    <row r="9" spans="1:21">
      <c r="B9" s="8"/>
      <c r="U9" s="9"/>
    </row>
    <row r="10" spans="1:21">
      <c r="A10" s="45"/>
      <c r="B10" s="34"/>
      <c r="C10" s="45"/>
      <c r="D10" s="2"/>
      <c r="E10" s="72" t="s">
        <v>85</v>
      </c>
      <c r="F10" s="72" t="str">
        <f>E10</f>
        <v>Year 0</v>
      </c>
      <c r="G10" s="72" t="str">
        <f t="shared" ref="G10:S11" si="0">F10</f>
        <v>Year 0</v>
      </c>
      <c r="H10" s="72" t="str">
        <f t="shared" si="0"/>
        <v>Year 0</v>
      </c>
      <c r="I10" s="72" t="str">
        <f t="shared" si="0"/>
        <v>Year 0</v>
      </c>
      <c r="J10" s="72" t="str">
        <f t="shared" si="0"/>
        <v>Year 0</v>
      </c>
      <c r="K10" s="72" t="str">
        <f t="shared" si="0"/>
        <v>Year 0</v>
      </c>
      <c r="L10" s="72" t="str">
        <f t="shared" si="0"/>
        <v>Year 0</v>
      </c>
      <c r="M10" s="72" t="str">
        <f t="shared" si="0"/>
        <v>Year 0</v>
      </c>
      <c r="N10" s="72" t="str">
        <f t="shared" si="0"/>
        <v>Year 0</v>
      </c>
      <c r="O10" s="72" t="str">
        <f t="shared" si="0"/>
        <v>Year 0</v>
      </c>
      <c r="P10" s="72" t="str">
        <f t="shared" si="0"/>
        <v>Year 0</v>
      </c>
      <c r="Q10" s="72" t="str">
        <f t="shared" si="0"/>
        <v>Year 0</v>
      </c>
      <c r="R10" s="72" t="str">
        <f t="shared" si="0"/>
        <v>Year 0</v>
      </c>
      <c r="S10" s="72" t="str">
        <f t="shared" si="0"/>
        <v>Year 0</v>
      </c>
      <c r="T10" s="73"/>
      <c r="U10" s="9"/>
    </row>
    <row r="11" spans="1:21">
      <c r="A11" s="45"/>
      <c r="B11" s="34"/>
      <c r="C11" s="45"/>
      <c r="D11" s="2"/>
      <c r="E11" s="25" t="str">
        <f>IF('1) Proposed School Information'!E23="Select Year"," ",VLOOKUP('6) Year 1 Budget'!E11,Source!A8:C17,3,FALSE))</f>
        <v>2023-24</v>
      </c>
      <c r="F11" s="74" t="str">
        <f>E11</f>
        <v>2023-24</v>
      </c>
      <c r="G11" s="74" t="str">
        <f t="shared" si="0"/>
        <v>2023-24</v>
      </c>
      <c r="H11" s="74" t="str">
        <f t="shared" si="0"/>
        <v>2023-24</v>
      </c>
      <c r="I11" s="74" t="str">
        <f t="shared" si="0"/>
        <v>2023-24</v>
      </c>
      <c r="J11" s="74" t="str">
        <f t="shared" si="0"/>
        <v>2023-24</v>
      </c>
      <c r="K11" s="74" t="str">
        <f t="shared" si="0"/>
        <v>2023-24</v>
      </c>
      <c r="L11" s="74" t="str">
        <f t="shared" si="0"/>
        <v>2023-24</v>
      </c>
      <c r="M11" s="74" t="str">
        <f t="shared" si="0"/>
        <v>2023-24</v>
      </c>
      <c r="N11" s="74" t="str">
        <f t="shared" si="0"/>
        <v>2023-24</v>
      </c>
      <c r="O11" s="74" t="str">
        <f t="shared" si="0"/>
        <v>2023-24</v>
      </c>
      <c r="P11" s="74" t="str">
        <f t="shared" si="0"/>
        <v>2023-24</v>
      </c>
      <c r="Q11" s="74" t="str">
        <f t="shared" si="0"/>
        <v>2023-24</v>
      </c>
      <c r="R11" s="74" t="str">
        <f t="shared" si="0"/>
        <v>2023-24</v>
      </c>
      <c r="S11" s="74" t="str">
        <f t="shared" si="0"/>
        <v>2023-24</v>
      </c>
      <c r="T11" s="73"/>
      <c r="U11" s="9"/>
    </row>
    <row r="12" spans="1:21">
      <c r="A12" s="45"/>
      <c r="B12" s="34"/>
      <c r="C12" s="42"/>
      <c r="D12" s="3"/>
      <c r="E12" s="75" t="s">
        <v>185</v>
      </c>
      <c r="F12" s="75" t="s">
        <v>186</v>
      </c>
      <c r="G12" s="75" t="s">
        <v>187</v>
      </c>
      <c r="H12" s="75" t="s">
        <v>188</v>
      </c>
      <c r="I12" s="75" t="s">
        <v>189</v>
      </c>
      <c r="J12" s="75" t="s">
        <v>190</v>
      </c>
      <c r="K12" s="75" t="s">
        <v>191</v>
      </c>
      <c r="L12" s="75" t="s">
        <v>192</v>
      </c>
      <c r="M12" s="75" t="s">
        <v>193</v>
      </c>
      <c r="N12" s="75" t="s">
        <v>194</v>
      </c>
      <c r="O12" s="75" t="s">
        <v>195</v>
      </c>
      <c r="P12" s="75" t="s">
        <v>196</v>
      </c>
      <c r="Q12" s="75" t="s">
        <v>197</v>
      </c>
      <c r="R12" s="75" t="s">
        <v>198</v>
      </c>
      <c r="S12" s="75" t="s">
        <v>199</v>
      </c>
      <c r="T12" s="76"/>
      <c r="U12" s="9"/>
    </row>
    <row r="13" spans="1:21">
      <c r="A13" s="45"/>
      <c r="B13" s="34"/>
      <c r="C13" s="45"/>
      <c r="D13" s="2"/>
      <c r="E13" s="76"/>
      <c r="F13" s="76"/>
      <c r="G13" s="76"/>
      <c r="H13" s="76"/>
      <c r="I13" s="76"/>
      <c r="J13" s="76"/>
      <c r="K13" s="76"/>
      <c r="L13" s="76"/>
      <c r="M13" s="76"/>
      <c r="N13" s="76"/>
      <c r="O13" s="76"/>
      <c r="P13" s="76"/>
      <c r="Q13" s="76"/>
      <c r="R13" s="76"/>
      <c r="S13" s="76"/>
      <c r="T13" s="76"/>
      <c r="U13" s="9"/>
    </row>
    <row r="14" spans="1:21">
      <c r="A14" s="45"/>
      <c r="B14" s="32" t="s">
        <v>200</v>
      </c>
      <c r="C14" s="42"/>
      <c r="D14" s="4"/>
      <c r="E14" s="66">
        <v>495000</v>
      </c>
      <c r="F14" s="61">
        <f>E14</f>
        <v>495000</v>
      </c>
      <c r="G14" s="61">
        <f>F43</f>
        <v>1205607.1031249999</v>
      </c>
      <c r="H14" s="61">
        <f t="shared" ref="H14:Q14" si="1">G43</f>
        <v>1171214.2062499998</v>
      </c>
      <c r="I14" s="61">
        <f t="shared" si="1"/>
        <v>1136821.3093749997</v>
      </c>
      <c r="J14" s="61">
        <f t="shared" si="1"/>
        <v>1102428.4124999996</v>
      </c>
      <c r="K14" s="61">
        <f t="shared" si="1"/>
        <v>1068035.5156249995</v>
      </c>
      <c r="L14" s="61">
        <f t="shared" si="1"/>
        <v>1033642.6187499996</v>
      </c>
      <c r="M14" s="61">
        <f t="shared" si="1"/>
        <v>986799.38854166621</v>
      </c>
      <c r="N14" s="61">
        <f t="shared" si="1"/>
        <v>939956.15833333286</v>
      </c>
      <c r="O14" s="61">
        <f t="shared" si="1"/>
        <v>893112.92812499951</v>
      </c>
      <c r="P14" s="61">
        <f t="shared" si="1"/>
        <v>846269.69791666616</v>
      </c>
      <c r="Q14" s="61">
        <f t="shared" si="1"/>
        <v>799426.46770833281</v>
      </c>
      <c r="R14" s="47"/>
      <c r="S14" s="47"/>
      <c r="T14" s="76"/>
      <c r="U14" s="9"/>
    </row>
    <row r="15" spans="1:21">
      <c r="A15" s="45"/>
      <c r="B15" s="34"/>
      <c r="C15" s="45"/>
      <c r="D15" s="2"/>
      <c r="E15" s="76"/>
      <c r="F15" s="76"/>
      <c r="G15" s="76"/>
      <c r="H15" s="76"/>
      <c r="I15" s="76"/>
      <c r="J15" s="76"/>
      <c r="K15" s="76"/>
      <c r="L15" s="76"/>
      <c r="M15" s="76"/>
      <c r="N15" s="76"/>
      <c r="O15" s="76"/>
      <c r="P15" s="76"/>
      <c r="Q15" s="76"/>
      <c r="R15" s="76"/>
      <c r="S15" s="76"/>
      <c r="T15" s="76"/>
      <c r="U15" s="9"/>
    </row>
    <row r="16" spans="1:21">
      <c r="A16" s="45"/>
      <c r="B16" s="32" t="s">
        <v>201</v>
      </c>
      <c r="C16" s="45"/>
      <c r="D16" s="2"/>
      <c r="E16" s="77"/>
      <c r="F16" s="76"/>
      <c r="G16" s="76"/>
      <c r="H16" s="76"/>
      <c r="I16" s="76"/>
      <c r="J16" s="76"/>
      <c r="K16" s="76"/>
      <c r="L16" s="76"/>
      <c r="M16" s="76"/>
      <c r="N16" s="76"/>
      <c r="O16" s="76"/>
      <c r="P16" s="76"/>
      <c r="Q16" s="76"/>
      <c r="R16" s="76"/>
      <c r="S16" s="76"/>
      <c r="T16" s="76"/>
      <c r="U16" s="9"/>
    </row>
    <row r="17" spans="1:21" hidden="1">
      <c r="A17" s="45"/>
      <c r="B17" s="34" t="s">
        <v>92</v>
      </c>
      <c r="C17" s="45"/>
      <c r="D17" s="2"/>
      <c r="E17" s="77">
        <f>SUM(E56:E60)</f>
        <v>0</v>
      </c>
      <c r="F17" s="77">
        <f t="shared" ref="F17:S17" si="2">SUM(F56:F60)</f>
        <v>0</v>
      </c>
      <c r="G17" s="77">
        <f t="shared" si="2"/>
        <v>0</v>
      </c>
      <c r="H17" s="77">
        <f t="shared" si="2"/>
        <v>0</v>
      </c>
      <c r="I17" s="77">
        <f t="shared" si="2"/>
        <v>0</v>
      </c>
      <c r="J17" s="77">
        <f t="shared" si="2"/>
        <v>0</v>
      </c>
      <c r="K17" s="77">
        <f t="shared" si="2"/>
        <v>0</v>
      </c>
      <c r="L17" s="77">
        <f t="shared" si="2"/>
        <v>0</v>
      </c>
      <c r="M17" s="77">
        <f t="shared" si="2"/>
        <v>0</v>
      </c>
      <c r="N17" s="77">
        <f t="shared" si="2"/>
        <v>0</v>
      </c>
      <c r="O17" s="77">
        <f t="shared" si="2"/>
        <v>0</v>
      </c>
      <c r="P17" s="77">
        <f t="shared" si="2"/>
        <v>0</v>
      </c>
      <c r="Q17" s="77">
        <f t="shared" si="2"/>
        <v>0</v>
      </c>
      <c r="R17" s="77">
        <f t="shared" si="2"/>
        <v>0</v>
      </c>
      <c r="S17" s="77">
        <f t="shared" si="2"/>
        <v>0</v>
      </c>
      <c r="T17" s="76"/>
      <c r="U17" s="9"/>
    </row>
    <row r="18" spans="1:21">
      <c r="A18" s="45"/>
      <c r="B18" s="34" t="s">
        <v>88</v>
      </c>
      <c r="C18" s="45"/>
      <c r="D18" s="2"/>
      <c r="E18" s="77"/>
      <c r="F18" s="89">
        <f>F68</f>
        <v>200000</v>
      </c>
      <c r="G18" s="77">
        <f t="shared" ref="G18:S18" si="3">G68</f>
        <v>0</v>
      </c>
      <c r="H18" s="77">
        <f t="shared" si="3"/>
        <v>0</v>
      </c>
      <c r="I18" s="77">
        <f t="shared" si="3"/>
        <v>0</v>
      </c>
      <c r="J18" s="77">
        <f t="shared" si="3"/>
        <v>0</v>
      </c>
      <c r="K18" s="77">
        <f t="shared" si="3"/>
        <v>0</v>
      </c>
      <c r="L18" s="77">
        <f t="shared" si="3"/>
        <v>0</v>
      </c>
      <c r="M18" s="77">
        <f t="shared" si="3"/>
        <v>0</v>
      </c>
      <c r="N18" s="77">
        <f t="shared" si="3"/>
        <v>0</v>
      </c>
      <c r="O18" s="77">
        <f t="shared" si="3"/>
        <v>0</v>
      </c>
      <c r="P18" s="77">
        <f t="shared" si="3"/>
        <v>0</v>
      </c>
      <c r="Q18" s="77">
        <f t="shared" si="3"/>
        <v>0</v>
      </c>
      <c r="R18" s="77">
        <f t="shared" si="3"/>
        <v>200000</v>
      </c>
      <c r="S18" s="77">
        <f t="shared" si="3"/>
        <v>0</v>
      </c>
      <c r="T18" s="76"/>
      <c r="U18" s="9"/>
    </row>
    <row r="19" spans="1:21" hidden="1">
      <c r="A19" s="45"/>
      <c r="B19" s="34" t="s">
        <v>103</v>
      </c>
      <c r="C19" s="45"/>
      <c r="D19" s="2"/>
      <c r="E19" s="77"/>
      <c r="F19" s="77"/>
      <c r="G19" s="77">
        <f t="shared" ref="G19:S19" si="4">SUM(G73:G77)</f>
        <v>0</v>
      </c>
      <c r="H19" s="77">
        <f t="shared" si="4"/>
        <v>0</v>
      </c>
      <c r="I19" s="77">
        <f t="shared" si="4"/>
        <v>0</v>
      </c>
      <c r="J19" s="77">
        <f t="shared" si="4"/>
        <v>0</v>
      </c>
      <c r="K19" s="77">
        <f t="shared" si="4"/>
        <v>0</v>
      </c>
      <c r="L19" s="77">
        <f t="shared" si="4"/>
        <v>0</v>
      </c>
      <c r="M19" s="77">
        <f t="shared" si="4"/>
        <v>0</v>
      </c>
      <c r="N19" s="77">
        <f t="shared" si="4"/>
        <v>0</v>
      </c>
      <c r="O19" s="77">
        <f t="shared" si="4"/>
        <v>0</v>
      </c>
      <c r="P19" s="77">
        <f t="shared" si="4"/>
        <v>0</v>
      </c>
      <c r="Q19" s="77">
        <f t="shared" si="4"/>
        <v>0</v>
      </c>
      <c r="R19" s="77">
        <f t="shared" si="4"/>
        <v>0</v>
      </c>
      <c r="S19" s="77">
        <f t="shared" si="4"/>
        <v>0</v>
      </c>
      <c r="T19" s="76"/>
      <c r="U19" s="9"/>
    </row>
    <row r="20" spans="1:21">
      <c r="A20" s="45"/>
      <c r="B20" s="34" t="s">
        <v>104</v>
      </c>
      <c r="C20" s="45"/>
      <c r="D20" s="2"/>
      <c r="E20" s="77"/>
      <c r="F20" s="89">
        <f>+F81+F82</f>
        <v>545000</v>
      </c>
      <c r="G20" s="77">
        <f t="shared" ref="G20:S20" si="5">SUM(G80:G84)</f>
        <v>0</v>
      </c>
      <c r="H20" s="77">
        <f t="shared" si="5"/>
        <v>0</v>
      </c>
      <c r="I20" s="77">
        <f t="shared" si="5"/>
        <v>0</v>
      </c>
      <c r="J20" s="77">
        <f t="shared" si="5"/>
        <v>0</v>
      </c>
      <c r="K20" s="77">
        <f t="shared" si="5"/>
        <v>0</v>
      </c>
      <c r="L20" s="77">
        <f t="shared" si="5"/>
        <v>0</v>
      </c>
      <c r="M20" s="77">
        <f t="shared" si="5"/>
        <v>0</v>
      </c>
      <c r="N20" s="77">
        <f t="shared" si="5"/>
        <v>0</v>
      </c>
      <c r="O20" s="77">
        <f t="shared" si="5"/>
        <v>0</v>
      </c>
      <c r="P20" s="77">
        <f t="shared" si="5"/>
        <v>0</v>
      </c>
      <c r="Q20" s="77">
        <f t="shared" si="5"/>
        <v>0</v>
      </c>
      <c r="R20" s="77">
        <f t="shared" si="5"/>
        <v>545000</v>
      </c>
      <c r="S20" s="77">
        <f t="shared" si="5"/>
        <v>0</v>
      </c>
      <c r="T20" s="76"/>
      <c r="U20" s="9"/>
    </row>
    <row r="21" spans="1:21">
      <c r="A21" s="45"/>
      <c r="B21" s="34"/>
      <c r="C21" s="45"/>
      <c r="D21" s="2"/>
      <c r="E21" s="76"/>
      <c r="F21" s="76"/>
      <c r="G21" s="76"/>
      <c r="H21" s="76"/>
      <c r="I21" s="76"/>
      <c r="J21" s="76"/>
      <c r="K21" s="76"/>
      <c r="L21" s="76"/>
      <c r="M21" s="76"/>
      <c r="N21" s="76"/>
      <c r="O21" s="76"/>
      <c r="P21" s="76"/>
      <c r="Q21" s="76"/>
      <c r="R21" s="76"/>
      <c r="S21" s="76"/>
      <c r="T21" s="76"/>
      <c r="U21" s="9"/>
    </row>
    <row r="22" spans="1:21" ht="15.75" thickBot="1">
      <c r="A22" s="45"/>
      <c r="B22" s="32" t="s">
        <v>106</v>
      </c>
      <c r="C22" s="45"/>
      <c r="D22" s="2"/>
      <c r="E22" s="78">
        <f>E14</f>
        <v>495000</v>
      </c>
      <c r="F22" s="78">
        <f t="shared" ref="F22:S22" si="6">SUM(F17:F20)</f>
        <v>745000</v>
      </c>
      <c r="G22" s="78">
        <f t="shared" si="6"/>
        <v>0</v>
      </c>
      <c r="H22" s="78">
        <f t="shared" si="6"/>
        <v>0</v>
      </c>
      <c r="I22" s="78">
        <f t="shared" si="6"/>
        <v>0</v>
      </c>
      <c r="J22" s="78">
        <f t="shared" si="6"/>
        <v>0</v>
      </c>
      <c r="K22" s="78">
        <f t="shared" si="6"/>
        <v>0</v>
      </c>
      <c r="L22" s="78">
        <f t="shared" si="6"/>
        <v>0</v>
      </c>
      <c r="M22" s="78">
        <f t="shared" si="6"/>
        <v>0</v>
      </c>
      <c r="N22" s="78">
        <f t="shared" si="6"/>
        <v>0</v>
      </c>
      <c r="O22" s="78">
        <f t="shared" si="6"/>
        <v>0</v>
      </c>
      <c r="P22" s="78">
        <f t="shared" si="6"/>
        <v>0</v>
      </c>
      <c r="Q22" s="78">
        <f t="shared" si="6"/>
        <v>0</v>
      </c>
      <c r="R22" s="78">
        <f>SUM(R17:R20)</f>
        <v>745000</v>
      </c>
      <c r="S22" s="78">
        <f t="shared" si="6"/>
        <v>0</v>
      </c>
      <c r="T22" s="76"/>
      <c r="U22" s="9"/>
    </row>
    <row r="23" spans="1:21" ht="15.75" thickTop="1">
      <c r="A23" s="45"/>
      <c r="B23" s="34"/>
      <c r="C23" s="45"/>
      <c r="D23" s="2"/>
      <c r="E23" s="76"/>
      <c r="F23" s="76"/>
      <c r="G23" s="76"/>
      <c r="H23" s="76"/>
      <c r="I23" s="76"/>
      <c r="J23" s="76"/>
      <c r="K23" s="76"/>
      <c r="L23" s="76"/>
      <c r="M23" s="76"/>
      <c r="N23" s="76"/>
      <c r="O23" s="76"/>
      <c r="P23" s="76"/>
      <c r="Q23" s="76"/>
      <c r="R23" s="76"/>
      <c r="S23" s="76"/>
      <c r="T23" s="76"/>
      <c r="U23" s="9"/>
    </row>
    <row r="24" spans="1:21">
      <c r="A24" s="45"/>
      <c r="B24" s="32" t="s">
        <v>202</v>
      </c>
      <c r="C24" s="45"/>
      <c r="D24" s="2"/>
      <c r="E24" s="76"/>
      <c r="F24" s="76"/>
      <c r="G24" s="76"/>
      <c r="H24" s="76"/>
      <c r="I24" s="76"/>
      <c r="J24" s="76"/>
      <c r="K24" s="76"/>
      <c r="L24" s="76"/>
      <c r="M24" s="76"/>
      <c r="N24" s="76"/>
      <c r="O24" s="76"/>
      <c r="P24" s="76"/>
      <c r="Q24" s="76"/>
      <c r="R24" s="76"/>
      <c r="S24" s="76"/>
      <c r="T24" s="76"/>
      <c r="U24" s="9"/>
    </row>
    <row r="25" spans="1:21">
      <c r="A25" s="45"/>
      <c r="B25" s="34" t="s">
        <v>203</v>
      </c>
      <c r="C25" s="45"/>
      <c r="D25" s="2"/>
      <c r="E25" s="77">
        <f>E123</f>
        <v>236525</v>
      </c>
      <c r="F25" s="77">
        <f t="shared" ref="F25:S25" si="7">F123</f>
        <v>13485.249999999998</v>
      </c>
      <c r="G25" s="77">
        <f t="shared" si="7"/>
        <v>13485.249999999998</v>
      </c>
      <c r="H25" s="77">
        <f t="shared" si="7"/>
        <v>13485.249999999998</v>
      </c>
      <c r="I25" s="77">
        <f t="shared" si="7"/>
        <v>13485.249999999998</v>
      </c>
      <c r="J25" s="77">
        <f t="shared" si="7"/>
        <v>13485.249999999998</v>
      </c>
      <c r="K25" s="77">
        <f t="shared" si="7"/>
        <v>13485.249999999998</v>
      </c>
      <c r="L25" s="77">
        <f t="shared" si="7"/>
        <v>25935.583333333332</v>
      </c>
      <c r="M25" s="77">
        <f t="shared" si="7"/>
        <v>25935.583333333332</v>
      </c>
      <c r="N25" s="77">
        <f t="shared" si="7"/>
        <v>25935.583333333332</v>
      </c>
      <c r="O25" s="77">
        <f t="shared" si="7"/>
        <v>25935.583333333332</v>
      </c>
      <c r="P25" s="77">
        <f t="shared" si="7"/>
        <v>25935.583333333332</v>
      </c>
      <c r="Q25" s="77">
        <f t="shared" si="7"/>
        <v>25935.583333333332</v>
      </c>
      <c r="R25" s="77">
        <f t="shared" si="7"/>
        <v>236525</v>
      </c>
      <c r="S25" s="77">
        <f t="shared" si="7"/>
        <v>0</v>
      </c>
      <c r="T25" s="76"/>
      <c r="U25" s="9"/>
    </row>
    <row r="26" spans="1:21">
      <c r="A26" s="45"/>
      <c r="B26" s="34" t="s">
        <v>204</v>
      </c>
      <c r="C26" s="45"/>
      <c r="D26" s="2"/>
      <c r="E26" s="77">
        <f>E143</f>
        <v>73788.762499999997</v>
      </c>
      <c r="F26" s="77">
        <f t="shared" ref="F26:S26" si="8">F143</f>
        <v>6149.0635416666664</v>
      </c>
      <c r="G26" s="77">
        <f t="shared" si="8"/>
        <v>6149.0635416666664</v>
      </c>
      <c r="H26" s="77">
        <f t="shared" si="8"/>
        <v>6149.0635416666664</v>
      </c>
      <c r="I26" s="77">
        <f t="shared" si="8"/>
        <v>6149.0635416666664</v>
      </c>
      <c r="J26" s="77">
        <f t="shared" si="8"/>
        <v>6149.0635416666664</v>
      </c>
      <c r="K26" s="77">
        <f t="shared" si="8"/>
        <v>6149.0635416666664</v>
      </c>
      <c r="L26" s="77">
        <f t="shared" si="8"/>
        <v>6149.0635416666664</v>
      </c>
      <c r="M26" s="77">
        <f t="shared" si="8"/>
        <v>6149.0635416666664</v>
      </c>
      <c r="N26" s="77">
        <f t="shared" si="8"/>
        <v>6149.0635416666664</v>
      </c>
      <c r="O26" s="77">
        <f t="shared" si="8"/>
        <v>6149.0635416666664</v>
      </c>
      <c r="P26" s="77">
        <f t="shared" si="8"/>
        <v>6149.0635416666664</v>
      </c>
      <c r="Q26" s="77">
        <f t="shared" si="8"/>
        <v>6149.0635416666664</v>
      </c>
      <c r="R26" s="77">
        <f t="shared" si="8"/>
        <v>73788.762500000012</v>
      </c>
      <c r="S26" s="77">
        <f t="shared" si="8"/>
        <v>0</v>
      </c>
      <c r="T26" s="76"/>
      <c r="U26" s="9"/>
    </row>
    <row r="27" spans="1:21">
      <c r="A27" s="45"/>
      <c r="B27" s="34" t="s">
        <v>132</v>
      </c>
      <c r="C27" s="45"/>
      <c r="D27" s="2"/>
      <c r="E27" s="77">
        <f>SUM(E154:E169)</f>
        <v>129547</v>
      </c>
      <c r="F27" s="77">
        <f t="shared" ref="F27:S27" si="9">SUM(F154:F169)</f>
        <v>10795.583333333334</v>
      </c>
      <c r="G27" s="77">
        <f t="shared" si="9"/>
        <v>10795.583333333334</v>
      </c>
      <c r="H27" s="77">
        <f t="shared" si="9"/>
        <v>10795.583333333334</v>
      </c>
      <c r="I27" s="77">
        <f t="shared" si="9"/>
        <v>10795.583333333334</v>
      </c>
      <c r="J27" s="77">
        <f t="shared" si="9"/>
        <v>10795.583333333334</v>
      </c>
      <c r="K27" s="77">
        <f t="shared" si="9"/>
        <v>10795.583333333334</v>
      </c>
      <c r="L27" s="77">
        <f t="shared" si="9"/>
        <v>10795.583333333334</v>
      </c>
      <c r="M27" s="77">
        <f t="shared" si="9"/>
        <v>10795.583333333334</v>
      </c>
      <c r="N27" s="77">
        <f t="shared" si="9"/>
        <v>10795.583333333334</v>
      </c>
      <c r="O27" s="77">
        <f t="shared" si="9"/>
        <v>10795.583333333334</v>
      </c>
      <c r="P27" s="77">
        <f t="shared" si="9"/>
        <v>10795.583333333334</v>
      </c>
      <c r="Q27" s="77">
        <f t="shared" si="9"/>
        <v>10795.583333333334</v>
      </c>
      <c r="R27" s="77">
        <f t="shared" si="9"/>
        <v>129547</v>
      </c>
      <c r="S27" s="77">
        <f t="shared" si="9"/>
        <v>0</v>
      </c>
      <c r="T27" s="76"/>
      <c r="U27" s="9"/>
    </row>
    <row r="28" spans="1:21">
      <c r="A28" s="45"/>
      <c r="B28" s="34" t="s">
        <v>148</v>
      </c>
      <c r="C28" s="45"/>
      <c r="D28" s="2"/>
      <c r="E28" s="77">
        <f>SUM(E172:E186)</f>
        <v>21620</v>
      </c>
      <c r="F28" s="77">
        <f t="shared" ref="F28:S28" si="10">SUM(F172:F186)</f>
        <v>1801.6666666666667</v>
      </c>
      <c r="G28" s="77">
        <f t="shared" si="10"/>
        <v>1801.6666666666667</v>
      </c>
      <c r="H28" s="77">
        <f t="shared" si="10"/>
        <v>1801.6666666666667</v>
      </c>
      <c r="I28" s="77">
        <f t="shared" si="10"/>
        <v>1801.6666666666667</v>
      </c>
      <c r="J28" s="77">
        <f t="shared" si="10"/>
        <v>1801.6666666666667</v>
      </c>
      <c r="K28" s="77">
        <f t="shared" si="10"/>
        <v>1801.6666666666667</v>
      </c>
      <c r="L28" s="77">
        <f t="shared" si="10"/>
        <v>1801.6666666666667</v>
      </c>
      <c r="M28" s="77">
        <f t="shared" si="10"/>
        <v>1801.6666666666667</v>
      </c>
      <c r="N28" s="77">
        <f t="shared" si="10"/>
        <v>1801.6666666666667</v>
      </c>
      <c r="O28" s="77">
        <f t="shared" si="10"/>
        <v>1801.6666666666667</v>
      </c>
      <c r="P28" s="77">
        <f t="shared" si="10"/>
        <v>1801.6666666666667</v>
      </c>
      <c r="Q28" s="77">
        <f t="shared" si="10"/>
        <v>1801.6666666666667</v>
      </c>
      <c r="R28" s="77">
        <f t="shared" si="10"/>
        <v>21620</v>
      </c>
      <c r="S28" s="77">
        <f t="shared" si="10"/>
        <v>0</v>
      </c>
      <c r="T28" s="76"/>
      <c r="U28" s="9"/>
    </row>
    <row r="29" spans="1:21">
      <c r="A29" s="45"/>
      <c r="B29" s="34" t="s">
        <v>205</v>
      </c>
      <c r="C29" s="45"/>
      <c r="D29" s="2"/>
      <c r="E29" s="77">
        <f>SUM(E189:E203)</f>
        <v>16036</v>
      </c>
      <c r="F29" s="77">
        <f t="shared" ref="F29:S29" si="11">SUM(F189:F203)</f>
        <v>1336.3333333333335</v>
      </c>
      <c r="G29" s="77">
        <f t="shared" si="11"/>
        <v>1336.3333333333335</v>
      </c>
      <c r="H29" s="77">
        <f t="shared" si="11"/>
        <v>1336.3333333333335</v>
      </c>
      <c r="I29" s="77">
        <f t="shared" si="11"/>
        <v>1336.3333333333335</v>
      </c>
      <c r="J29" s="77">
        <f t="shared" si="11"/>
        <v>1336.3333333333335</v>
      </c>
      <c r="K29" s="77">
        <f t="shared" si="11"/>
        <v>1336.3333333333335</v>
      </c>
      <c r="L29" s="77">
        <f t="shared" si="11"/>
        <v>1336.3333333333335</v>
      </c>
      <c r="M29" s="77">
        <f t="shared" si="11"/>
        <v>1336.3333333333335</v>
      </c>
      <c r="N29" s="77">
        <f t="shared" si="11"/>
        <v>1336.3333333333335</v>
      </c>
      <c r="O29" s="77">
        <f t="shared" si="11"/>
        <v>1336.3333333333335</v>
      </c>
      <c r="P29" s="77">
        <f t="shared" si="11"/>
        <v>1336.3333333333335</v>
      </c>
      <c r="Q29" s="77">
        <f t="shared" si="11"/>
        <v>1336.3333333333335</v>
      </c>
      <c r="R29" s="77">
        <f t="shared" si="11"/>
        <v>16036</v>
      </c>
      <c r="S29" s="77">
        <f t="shared" si="11"/>
        <v>0</v>
      </c>
      <c r="T29" s="76"/>
      <c r="U29" s="9"/>
    </row>
    <row r="30" spans="1:21">
      <c r="A30" s="45"/>
      <c r="B30" s="34" t="s">
        <v>175</v>
      </c>
      <c r="C30" s="45"/>
      <c r="D30" s="2"/>
      <c r="E30" s="77">
        <f>SUM(E206:E210)</f>
        <v>9900</v>
      </c>
      <c r="F30" s="77">
        <f t="shared" ref="F30:S30" si="12">SUM(F206:F210)</f>
        <v>825</v>
      </c>
      <c r="G30" s="77">
        <f t="shared" si="12"/>
        <v>825</v>
      </c>
      <c r="H30" s="77">
        <f t="shared" si="12"/>
        <v>825</v>
      </c>
      <c r="I30" s="77">
        <f t="shared" si="12"/>
        <v>825</v>
      </c>
      <c r="J30" s="77">
        <f t="shared" si="12"/>
        <v>825</v>
      </c>
      <c r="K30" s="77">
        <f t="shared" si="12"/>
        <v>825</v>
      </c>
      <c r="L30" s="77">
        <f t="shared" si="12"/>
        <v>825</v>
      </c>
      <c r="M30" s="77">
        <f t="shared" si="12"/>
        <v>825</v>
      </c>
      <c r="N30" s="77">
        <f t="shared" si="12"/>
        <v>825</v>
      </c>
      <c r="O30" s="77">
        <f t="shared" si="12"/>
        <v>825</v>
      </c>
      <c r="P30" s="77">
        <f t="shared" si="12"/>
        <v>825</v>
      </c>
      <c r="Q30" s="77">
        <f t="shared" si="12"/>
        <v>825</v>
      </c>
      <c r="R30" s="77">
        <f t="shared" si="12"/>
        <v>9900</v>
      </c>
      <c r="S30" s="77">
        <f t="shared" si="12"/>
        <v>0</v>
      </c>
      <c r="T30" s="76"/>
      <c r="U30" s="9"/>
    </row>
    <row r="31" spans="1:21">
      <c r="A31" s="45"/>
      <c r="B31" s="34" t="s">
        <v>180</v>
      </c>
      <c r="C31" s="45"/>
      <c r="D31" s="2"/>
      <c r="E31" s="77">
        <f>SUM(E213:E217)</f>
        <v>0</v>
      </c>
      <c r="F31" s="77">
        <f t="shared" ref="F31:S31" si="13">SUM(F213:F217)</f>
        <v>0</v>
      </c>
      <c r="G31" s="77">
        <f t="shared" si="13"/>
        <v>0</v>
      </c>
      <c r="H31" s="77">
        <f t="shared" si="13"/>
        <v>0</v>
      </c>
      <c r="I31" s="77">
        <f t="shared" si="13"/>
        <v>0</v>
      </c>
      <c r="J31" s="77">
        <f t="shared" si="13"/>
        <v>0</v>
      </c>
      <c r="K31" s="77">
        <f t="shared" si="13"/>
        <v>0</v>
      </c>
      <c r="L31" s="77">
        <f t="shared" si="13"/>
        <v>0</v>
      </c>
      <c r="M31" s="77">
        <f t="shared" si="13"/>
        <v>0</v>
      </c>
      <c r="N31" s="77">
        <f t="shared" si="13"/>
        <v>0</v>
      </c>
      <c r="O31" s="77">
        <f t="shared" si="13"/>
        <v>0</v>
      </c>
      <c r="P31" s="77">
        <f t="shared" si="13"/>
        <v>0</v>
      </c>
      <c r="Q31" s="77">
        <f t="shared" si="13"/>
        <v>0</v>
      </c>
      <c r="R31" s="77">
        <f t="shared" si="13"/>
        <v>0</v>
      </c>
      <c r="S31" s="77">
        <f t="shared" si="13"/>
        <v>0</v>
      </c>
      <c r="T31" s="76"/>
      <c r="U31" s="9"/>
    </row>
    <row r="32" spans="1:21">
      <c r="A32" s="45"/>
      <c r="B32" s="34"/>
      <c r="C32" s="45"/>
      <c r="D32" s="2"/>
      <c r="E32" s="76"/>
      <c r="F32" s="76"/>
      <c r="G32" s="76"/>
      <c r="H32" s="76"/>
      <c r="I32" s="76"/>
      <c r="J32" s="76"/>
      <c r="K32" s="76"/>
      <c r="L32" s="76"/>
      <c r="M32" s="76"/>
      <c r="N32" s="76"/>
      <c r="O32" s="76"/>
      <c r="P32" s="76"/>
      <c r="Q32" s="76"/>
      <c r="R32" s="76"/>
      <c r="S32" s="76"/>
      <c r="T32" s="76"/>
      <c r="U32" s="9"/>
    </row>
    <row r="33" spans="1:21" ht="15.75" thickBot="1">
      <c r="A33" s="45"/>
      <c r="B33" s="32" t="s">
        <v>182</v>
      </c>
      <c r="C33" s="45"/>
      <c r="D33" s="2"/>
      <c r="E33" s="78">
        <f>SUM(E25:E31)</f>
        <v>487416.76250000001</v>
      </c>
      <c r="F33" s="78">
        <f t="shared" ref="F33:S33" si="14">SUM(F25:F31)</f>
        <v>34392.896874999999</v>
      </c>
      <c r="G33" s="78">
        <f t="shared" si="14"/>
        <v>34392.896874999999</v>
      </c>
      <c r="H33" s="78">
        <f t="shared" si="14"/>
        <v>34392.896874999999</v>
      </c>
      <c r="I33" s="78">
        <f t="shared" si="14"/>
        <v>34392.896874999999</v>
      </c>
      <c r="J33" s="78">
        <f t="shared" si="14"/>
        <v>34392.896874999999</v>
      </c>
      <c r="K33" s="78">
        <f t="shared" si="14"/>
        <v>34392.896874999999</v>
      </c>
      <c r="L33" s="78">
        <f t="shared" si="14"/>
        <v>46843.230208333334</v>
      </c>
      <c r="M33" s="78">
        <f t="shared" si="14"/>
        <v>46843.230208333334</v>
      </c>
      <c r="N33" s="78">
        <f t="shared" si="14"/>
        <v>46843.230208333334</v>
      </c>
      <c r="O33" s="78">
        <f t="shared" si="14"/>
        <v>46843.230208333334</v>
      </c>
      <c r="P33" s="78">
        <f t="shared" si="14"/>
        <v>46843.230208333334</v>
      </c>
      <c r="Q33" s="78">
        <f t="shared" si="14"/>
        <v>46843.230208333334</v>
      </c>
      <c r="R33" s="78">
        <f t="shared" si="14"/>
        <v>487416.76250000001</v>
      </c>
      <c r="S33" s="78">
        <f t="shared" si="14"/>
        <v>0</v>
      </c>
      <c r="T33" s="76"/>
      <c r="U33" s="9"/>
    </row>
    <row r="34" spans="1:21" ht="15.75" thickTop="1">
      <c r="A34" s="45"/>
      <c r="B34" s="34"/>
      <c r="C34" s="45"/>
      <c r="D34" s="2"/>
      <c r="E34" s="76"/>
      <c r="F34" s="76"/>
      <c r="G34" s="76"/>
      <c r="H34" s="76"/>
      <c r="I34" s="76"/>
      <c r="J34" s="76"/>
      <c r="K34" s="76"/>
      <c r="L34" s="76"/>
      <c r="M34" s="76"/>
      <c r="N34" s="76"/>
      <c r="O34" s="76"/>
      <c r="P34" s="76"/>
      <c r="Q34" s="76"/>
      <c r="R34" s="76"/>
      <c r="S34" s="76"/>
      <c r="T34" s="76"/>
      <c r="U34" s="9"/>
    </row>
    <row r="35" spans="1:21" ht="15.75" thickBot="1">
      <c r="A35" s="45"/>
      <c r="B35" s="34" t="s">
        <v>206</v>
      </c>
      <c r="C35" s="45"/>
      <c r="D35" s="2"/>
      <c r="E35" s="78">
        <f>E22-E33</f>
        <v>7583.2374999999884</v>
      </c>
      <c r="F35" s="78">
        <f t="shared" ref="F35:S35" si="15">F22-F33</f>
        <v>710607.10312500002</v>
      </c>
      <c r="G35" s="78">
        <f t="shared" si="15"/>
        <v>-34392.896874999999</v>
      </c>
      <c r="H35" s="78">
        <f t="shared" si="15"/>
        <v>-34392.896874999999</v>
      </c>
      <c r="I35" s="78">
        <f t="shared" si="15"/>
        <v>-34392.896874999999</v>
      </c>
      <c r="J35" s="78">
        <f t="shared" si="15"/>
        <v>-34392.896874999999</v>
      </c>
      <c r="K35" s="78">
        <f t="shared" si="15"/>
        <v>-34392.896874999999</v>
      </c>
      <c r="L35" s="78">
        <f t="shared" si="15"/>
        <v>-46843.230208333334</v>
      </c>
      <c r="M35" s="78">
        <f t="shared" si="15"/>
        <v>-46843.230208333334</v>
      </c>
      <c r="N35" s="78">
        <f t="shared" si="15"/>
        <v>-46843.230208333334</v>
      </c>
      <c r="O35" s="78">
        <f t="shared" si="15"/>
        <v>-46843.230208333334</v>
      </c>
      <c r="P35" s="78">
        <f t="shared" si="15"/>
        <v>-46843.230208333334</v>
      </c>
      <c r="Q35" s="78">
        <f t="shared" si="15"/>
        <v>-46843.230208333334</v>
      </c>
      <c r="R35" s="78">
        <f t="shared" si="15"/>
        <v>257583.23749999999</v>
      </c>
      <c r="S35" s="78">
        <f t="shared" si="15"/>
        <v>0</v>
      </c>
      <c r="T35" s="76"/>
      <c r="U35" s="9"/>
    </row>
    <row r="36" spans="1:21" ht="15.75" thickTop="1">
      <c r="A36" s="45"/>
      <c r="B36" s="34"/>
      <c r="C36" s="45"/>
      <c r="D36" s="2"/>
      <c r="E36" s="76"/>
      <c r="F36" s="76"/>
      <c r="G36" s="76"/>
      <c r="H36" s="76"/>
      <c r="I36" s="76"/>
      <c r="J36" s="76"/>
      <c r="K36" s="76"/>
      <c r="L36" s="76"/>
      <c r="M36" s="76"/>
      <c r="N36" s="76"/>
      <c r="O36" s="76"/>
      <c r="P36" s="76"/>
      <c r="Q36" s="76"/>
      <c r="R36" s="76"/>
      <c r="S36" s="76"/>
      <c r="T36" s="76"/>
      <c r="U36" s="9"/>
    </row>
    <row r="37" spans="1:21">
      <c r="A37" s="45"/>
      <c r="B37" s="34" t="s">
        <v>207</v>
      </c>
      <c r="C37" s="45"/>
      <c r="D37" s="2"/>
      <c r="E37" s="75"/>
      <c r="F37" s="66"/>
      <c r="G37" s="66">
        <v>0</v>
      </c>
      <c r="H37" s="66">
        <v>0</v>
      </c>
      <c r="I37" s="66">
        <v>0</v>
      </c>
      <c r="J37" s="66">
        <v>0</v>
      </c>
      <c r="K37" s="66">
        <v>0</v>
      </c>
      <c r="L37" s="66">
        <v>0</v>
      </c>
      <c r="M37" s="66">
        <v>0</v>
      </c>
      <c r="N37" s="66">
        <v>0</v>
      </c>
      <c r="O37" s="66">
        <v>0</v>
      </c>
      <c r="P37" s="66">
        <v>0</v>
      </c>
      <c r="Q37" s="66">
        <v>0</v>
      </c>
      <c r="R37" s="76"/>
      <c r="S37" s="76"/>
      <c r="T37" s="76"/>
      <c r="U37" s="9"/>
    </row>
    <row r="38" spans="1:21">
      <c r="A38" s="45"/>
      <c r="B38" s="34" t="s">
        <v>208</v>
      </c>
      <c r="C38" s="45"/>
      <c r="D38" s="2"/>
      <c r="E38" s="75"/>
      <c r="F38" s="66">
        <v>0</v>
      </c>
      <c r="G38" s="66">
        <v>0</v>
      </c>
      <c r="H38" s="66">
        <v>0</v>
      </c>
      <c r="I38" s="66">
        <v>0</v>
      </c>
      <c r="J38" s="66">
        <v>0</v>
      </c>
      <c r="K38" s="66">
        <v>0</v>
      </c>
      <c r="L38" s="66">
        <v>0</v>
      </c>
      <c r="M38" s="66">
        <v>0</v>
      </c>
      <c r="N38" s="66">
        <v>0</v>
      </c>
      <c r="O38" s="66">
        <v>0</v>
      </c>
      <c r="P38" s="66">
        <v>0</v>
      </c>
      <c r="Q38" s="66">
        <v>0</v>
      </c>
      <c r="R38" s="76"/>
      <c r="S38" s="76"/>
      <c r="T38" s="76"/>
      <c r="U38" s="9"/>
    </row>
    <row r="39" spans="1:21">
      <c r="A39" s="45"/>
      <c r="B39" s="34" t="s">
        <v>209</v>
      </c>
      <c r="C39" s="45"/>
      <c r="D39" s="2"/>
      <c r="E39" s="75"/>
      <c r="F39" s="66">
        <v>0</v>
      </c>
      <c r="G39" s="66">
        <v>0</v>
      </c>
      <c r="H39" s="66">
        <v>0</v>
      </c>
      <c r="I39" s="66">
        <v>0</v>
      </c>
      <c r="J39" s="66">
        <v>0</v>
      </c>
      <c r="K39" s="66">
        <v>0</v>
      </c>
      <c r="L39" s="66">
        <v>0</v>
      </c>
      <c r="M39" s="66">
        <v>0</v>
      </c>
      <c r="N39" s="66">
        <v>0</v>
      </c>
      <c r="O39" s="66">
        <v>0</v>
      </c>
      <c r="P39" s="66">
        <v>0</v>
      </c>
      <c r="Q39" s="66">
        <v>0</v>
      </c>
      <c r="R39" s="76"/>
      <c r="S39" s="76"/>
      <c r="T39" s="76"/>
      <c r="U39" s="9"/>
    </row>
    <row r="40" spans="1:21">
      <c r="A40" s="45"/>
      <c r="B40" s="34" t="s">
        <v>210</v>
      </c>
      <c r="C40" s="45"/>
      <c r="D40" s="2"/>
      <c r="E40" s="75"/>
      <c r="F40" s="66">
        <v>0</v>
      </c>
      <c r="G40" s="66">
        <v>0</v>
      </c>
      <c r="H40" s="66">
        <v>0</v>
      </c>
      <c r="I40" s="66">
        <v>0</v>
      </c>
      <c r="J40" s="66">
        <v>0</v>
      </c>
      <c r="K40" s="66">
        <v>0</v>
      </c>
      <c r="L40" s="66">
        <v>0</v>
      </c>
      <c r="M40" s="66">
        <v>0</v>
      </c>
      <c r="N40" s="66">
        <v>0</v>
      </c>
      <c r="O40" s="66">
        <v>0</v>
      </c>
      <c r="P40" s="66">
        <v>0</v>
      </c>
      <c r="Q40" s="66">
        <v>0</v>
      </c>
      <c r="R40" s="76"/>
      <c r="S40" s="76"/>
      <c r="T40" s="76"/>
      <c r="U40" s="9"/>
    </row>
    <row r="41" spans="1:21">
      <c r="A41" s="45"/>
      <c r="B41" s="34" t="s">
        <v>211</v>
      </c>
      <c r="C41" s="45"/>
      <c r="D41" s="2"/>
      <c r="E41" s="75"/>
      <c r="F41" s="66">
        <v>0</v>
      </c>
      <c r="G41" s="66">
        <v>0</v>
      </c>
      <c r="H41" s="66">
        <v>0</v>
      </c>
      <c r="I41" s="66">
        <v>0</v>
      </c>
      <c r="J41" s="66">
        <v>0</v>
      </c>
      <c r="K41" s="66">
        <v>0</v>
      </c>
      <c r="L41" s="66">
        <v>0</v>
      </c>
      <c r="M41" s="66">
        <v>0</v>
      </c>
      <c r="N41" s="66">
        <v>0</v>
      </c>
      <c r="O41" s="66">
        <v>0</v>
      </c>
      <c r="P41" s="66">
        <v>0</v>
      </c>
      <c r="Q41" s="66">
        <v>0</v>
      </c>
      <c r="R41" s="76"/>
      <c r="S41" s="76"/>
      <c r="T41" s="76"/>
      <c r="U41" s="9"/>
    </row>
    <row r="42" spans="1:21">
      <c r="A42" s="45"/>
      <c r="B42" s="34"/>
      <c r="C42" s="45"/>
      <c r="D42" s="2"/>
      <c r="E42" s="76"/>
      <c r="F42" s="76"/>
      <c r="G42" s="76"/>
      <c r="H42" s="76"/>
      <c r="I42" s="76"/>
      <c r="J42" s="76"/>
      <c r="K42" s="76"/>
      <c r="L42" s="76"/>
      <c r="M42" s="76"/>
      <c r="N42" s="76"/>
      <c r="O42" s="76"/>
      <c r="P42" s="76"/>
      <c r="Q42" s="76"/>
      <c r="R42" s="76"/>
      <c r="S42" s="76"/>
      <c r="T42" s="76"/>
      <c r="U42" s="9"/>
    </row>
    <row r="43" spans="1:21" ht="15.75" thickBot="1">
      <c r="A43" s="45"/>
      <c r="B43" s="32" t="s">
        <v>212</v>
      </c>
      <c r="C43" s="42"/>
      <c r="D43" s="4"/>
      <c r="E43" s="47"/>
      <c r="F43" s="79">
        <f>F14+F35+SUM(F37:F41)</f>
        <v>1205607.1031249999</v>
      </c>
      <c r="G43" s="79">
        <f t="shared" ref="G43:Q43" si="16">G14+G35+SUM(G37:G41)</f>
        <v>1171214.2062499998</v>
      </c>
      <c r="H43" s="79">
        <f t="shared" si="16"/>
        <v>1136821.3093749997</v>
      </c>
      <c r="I43" s="79">
        <f t="shared" si="16"/>
        <v>1102428.4124999996</v>
      </c>
      <c r="J43" s="79">
        <f t="shared" si="16"/>
        <v>1068035.5156249995</v>
      </c>
      <c r="K43" s="79">
        <f t="shared" si="16"/>
        <v>1033642.6187499996</v>
      </c>
      <c r="L43" s="79">
        <f t="shared" si="16"/>
        <v>986799.38854166621</v>
      </c>
      <c r="M43" s="79">
        <f t="shared" si="16"/>
        <v>939956.15833333286</v>
      </c>
      <c r="N43" s="79">
        <f t="shared" si="16"/>
        <v>893112.92812499951</v>
      </c>
      <c r="O43" s="79">
        <f t="shared" si="16"/>
        <v>846269.69791666616</v>
      </c>
      <c r="P43" s="79">
        <f t="shared" si="16"/>
        <v>799426.46770833281</v>
      </c>
      <c r="Q43" s="79">
        <f t="shared" si="16"/>
        <v>752583.23749999946</v>
      </c>
      <c r="R43" s="61"/>
      <c r="S43" s="61"/>
      <c r="T43" s="76"/>
      <c r="U43" s="9"/>
    </row>
    <row r="44" spans="1:21" ht="16.5" thickTop="1" thickBot="1">
      <c r="A44" s="45"/>
      <c r="B44" s="121"/>
      <c r="C44" s="148"/>
      <c r="D44" s="149"/>
      <c r="E44" s="150"/>
      <c r="F44" s="150"/>
      <c r="G44" s="150"/>
      <c r="H44" s="150"/>
      <c r="I44" s="150"/>
      <c r="J44" s="150"/>
      <c r="K44" s="150"/>
      <c r="L44" s="150"/>
      <c r="M44" s="150"/>
      <c r="N44" s="150"/>
      <c r="O44" s="150"/>
      <c r="P44" s="150"/>
      <c r="Q44" s="150"/>
      <c r="R44" s="150"/>
      <c r="S44" s="150"/>
      <c r="T44" s="150"/>
      <c r="U44" s="22"/>
    </row>
    <row r="45" spans="1:21">
      <c r="A45" s="45"/>
      <c r="B45" s="142"/>
      <c r="C45" s="143"/>
      <c r="D45" s="144"/>
      <c r="E45" s="145"/>
      <c r="F45" s="145"/>
      <c r="G45" s="145"/>
      <c r="H45" s="145"/>
      <c r="I45" s="145"/>
      <c r="J45" s="145"/>
      <c r="K45" s="145"/>
      <c r="L45" s="145"/>
      <c r="M45" s="145"/>
      <c r="N45" s="145"/>
      <c r="O45" s="145"/>
      <c r="P45" s="145"/>
      <c r="Q45" s="145"/>
      <c r="R45" s="145"/>
      <c r="S45" s="145"/>
      <c r="T45" s="145"/>
      <c r="U45" s="7"/>
    </row>
    <row r="46" spans="1:21">
      <c r="A46" s="45"/>
      <c r="B46" s="34"/>
      <c r="C46" s="45"/>
      <c r="D46" s="2"/>
      <c r="E46" s="783" t="s">
        <v>213</v>
      </c>
      <c r="F46" s="752"/>
      <c r="G46" s="766"/>
      <c r="H46" s="766"/>
      <c r="I46" s="766"/>
      <c r="J46" s="766"/>
      <c r="K46" s="766"/>
      <c r="L46" s="766"/>
      <c r="M46" s="766"/>
      <c r="N46" s="766"/>
      <c r="O46" s="766"/>
      <c r="P46" s="766"/>
      <c r="Q46" s="766"/>
      <c r="R46" s="766"/>
      <c r="S46" s="766"/>
      <c r="T46" s="76"/>
      <c r="U46" s="9"/>
    </row>
    <row r="47" spans="1:21">
      <c r="A47" s="45"/>
      <c r="B47" s="34"/>
      <c r="C47" s="45"/>
      <c r="D47" s="2"/>
      <c r="E47" s="76"/>
      <c r="F47" s="76"/>
      <c r="G47" s="76"/>
      <c r="H47" s="76"/>
      <c r="I47" s="76"/>
      <c r="J47" s="76"/>
      <c r="K47" s="76"/>
      <c r="L47" s="76"/>
      <c r="M47" s="76"/>
      <c r="N47" s="76"/>
      <c r="O47" s="76"/>
      <c r="P47" s="76"/>
      <c r="Q47" s="76"/>
      <c r="R47" s="76"/>
      <c r="S47" s="76"/>
      <c r="T47" s="76"/>
      <c r="U47" s="9"/>
    </row>
    <row r="48" spans="1:21">
      <c r="A48" s="45"/>
      <c r="B48" s="34"/>
      <c r="C48" s="45"/>
      <c r="D48" s="2"/>
      <c r="E48" s="72" t="str">
        <f>E10</f>
        <v>Year 0</v>
      </c>
      <c r="F48" s="72" t="str">
        <f t="shared" ref="F48:S48" si="17">F10</f>
        <v>Year 0</v>
      </c>
      <c r="G48" s="72" t="str">
        <f t="shared" si="17"/>
        <v>Year 0</v>
      </c>
      <c r="H48" s="72" t="str">
        <f t="shared" si="17"/>
        <v>Year 0</v>
      </c>
      <c r="I48" s="72" t="str">
        <f t="shared" si="17"/>
        <v>Year 0</v>
      </c>
      <c r="J48" s="72" t="str">
        <f t="shared" si="17"/>
        <v>Year 0</v>
      </c>
      <c r="K48" s="72" t="str">
        <f t="shared" si="17"/>
        <v>Year 0</v>
      </c>
      <c r="L48" s="72" t="str">
        <f t="shared" si="17"/>
        <v>Year 0</v>
      </c>
      <c r="M48" s="72" t="str">
        <f t="shared" si="17"/>
        <v>Year 0</v>
      </c>
      <c r="N48" s="72" t="str">
        <f t="shared" si="17"/>
        <v>Year 0</v>
      </c>
      <c r="O48" s="72" t="str">
        <f t="shared" si="17"/>
        <v>Year 0</v>
      </c>
      <c r="P48" s="72" t="str">
        <f t="shared" si="17"/>
        <v>Year 0</v>
      </c>
      <c r="Q48" s="72" t="str">
        <f t="shared" si="17"/>
        <v>Year 0</v>
      </c>
      <c r="R48" s="72" t="str">
        <f t="shared" si="17"/>
        <v>Year 0</v>
      </c>
      <c r="S48" s="72" t="str">
        <f t="shared" si="17"/>
        <v>Year 0</v>
      </c>
      <c r="T48" s="76"/>
      <c r="U48" s="9"/>
    </row>
    <row r="49" spans="1:21">
      <c r="A49" s="45"/>
      <c r="B49" s="34"/>
      <c r="C49" s="45"/>
      <c r="D49" s="2"/>
      <c r="E49" s="72" t="str">
        <f t="shared" ref="E49:S50" si="18">E11</f>
        <v>2023-24</v>
      </c>
      <c r="F49" s="72" t="str">
        <f t="shared" si="18"/>
        <v>2023-24</v>
      </c>
      <c r="G49" s="72" t="str">
        <f t="shared" si="18"/>
        <v>2023-24</v>
      </c>
      <c r="H49" s="72" t="str">
        <f t="shared" si="18"/>
        <v>2023-24</v>
      </c>
      <c r="I49" s="72" t="str">
        <f t="shared" si="18"/>
        <v>2023-24</v>
      </c>
      <c r="J49" s="72" t="str">
        <f t="shared" si="18"/>
        <v>2023-24</v>
      </c>
      <c r="K49" s="72" t="str">
        <f t="shared" si="18"/>
        <v>2023-24</v>
      </c>
      <c r="L49" s="72" t="str">
        <f t="shared" si="18"/>
        <v>2023-24</v>
      </c>
      <c r="M49" s="72" t="str">
        <f t="shared" si="18"/>
        <v>2023-24</v>
      </c>
      <c r="N49" s="72" t="str">
        <f t="shared" si="18"/>
        <v>2023-24</v>
      </c>
      <c r="O49" s="72" t="str">
        <f t="shared" si="18"/>
        <v>2023-24</v>
      </c>
      <c r="P49" s="72" t="str">
        <f t="shared" si="18"/>
        <v>2023-24</v>
      </c>
      <c r="Q49" s="72" t="str">
        <f t="shared" si="18"/>
        <v>2023-24</v>
      </c>
      <c r="R49" s="72" t="str">
        <f t="shared" si="18"/>
        <v>2023-24</v>
      </c>
      <c r="S49" s="72" t="str">
        <f t="shared" si="18"/>
        <v>2023-24</v>
      </c>
      <c r="T49" s="76"/>
      <c r="U49" s="9"/>
    </row>
    <row r="50" spans="1:21">
      <c r="A50" s="45"/>
      <c r="B50" s="34"/>
      <c r="C50" s="45"/>
      <c r="D50" s="2"/>
      <c r="E50" s="83" t="str">
        <f t="shared" si="18"/>
        <v>Total Budget</v>
      </c>
      <c r="F50" s="83" t="str">
        <f t="shared" si="18"/>
        <v>July</v>
      </c>
      <c r="G50" s="83" t="str">
        <f t="shared" si="18"/>
        <v>August</v>
      </c>
      <c r="H50" s="83" t="str">
        <f t="shared" si="18"/>
        <v>September</v>
      </c>
      <c r="I50" s="83" t="str">
        <f t="shared" si="18"/>
        <v>October</v>
      </c>
      <c r="J50" s="83" t="str">
        <f t="shared" si="18"/>
        <v>November</v>
      </c>
      <c r="K50" s="83" t="str">
        <f t="shared" si="18"/>
        <v>December</v>
      </c>
      <c r="L50" s="83" t="str">
        <f t="shared" si="18"/>
        <v>January</v>
      </c>
      <c r="M50" s="83" t="str">
        <f t="shared" si="18"/>
        <v>February</v>
      </c>
      <c r="N50" s="83" t="str">
        <f t="shared" si="18"/>
        <v>March</v>
      </c>
      <c r="O50" s="83" t="str">
        <f t="shared" si="18"/>
        <v>April</v>
      </c>
      <c r="P50" s="83" t="str">
        <f t="shared" si="18"/>
        <v>May</v>
      </c>
      <c r="Q50" s="83" t="str">
        <f t="shared" si="18"/>
        <v>June</v>
      </c>
      <c r="R50" s="83" t="str">
        <f t="shared" si="18"/>
        <v>Total</v>
      </c>
      <c r="S50" s="83" t="str">
        <f t="shared" si="18"/>
        <v>AR/AP</v>
      </c>
      <c r="T50" s="76"/>
      <c r="U50" s="9"/>
    </row>
    <row r="51" spans="1:21">
      <c r="A51" s="45"/>
      <c r="B51" s="34"/>
      <c r="C51" s="45"/>
      <c r="D51" s="2"/>
      <c r="E51" s="76"/>
      <c r="F51" s="76"/>
      <c r="G51" s="76"/>
      <c r="H51" s="76"/>
      <c r="I51" s="76"/>
      <c r="J51" s="76"/>
      <c r="K51" s="76"/>
      <c r="L51" s="76"/>
      <c r="M51" s="76"/>
      <c r="N51" s="76"/>
      <c r="O51" s="76"/>
      <c r="P51" s="76"/>
      <c r="Q51" s="76"/>
      <c r="R51" s="76"/>
      <c r="S51" s="76"/>
      <c r="T51" s="76"/>
      <c r="U51" s="9"/>
    </row>
    <row r="52" spans="1:21">
      <c r="A52" s="45"/>
      <c r="B52" s="34"/>
      <c r="C52" s="45"/>
      <c r="D52" s="2"/>
      <c r="E52" s="76"/>
      <c r="F52" s="76"/>
      <c r="G52" s="76"/>
      <c r="H52" s="76"/>
      <c r="I52" s="76"/>
      <c r="J52" s="76"/>
      <c r="K52" s="76"/>
      <c r="L52" s="76"/>
      <c r="M52" s="76"/>
      <c r="N52" s="76"/>
      <c r="O52" s="76"/>
      <c r="P52" s="76"/>
      <c r="Q52" s="76"/>
      <c r="R52" s="76"/>
      <c r="S52" s="76"/>
      <c r="T52" s="76"/>
      <c r="U52" s="9"/>
    </row>
    <row r="53" spans="1:21">
      <c r="A53" s="45"/>
      <c r="B53" s="32" t="s">
        <v>201</v>
      </c>
      <c r="C53" s="45"/>
      <c r="D53" s="2"/>
      <c r="E53" s="783" t="s">
        <v>201</v>
      </c>
      <c r="F53" s="752"/>
      <c r="G53" s="766"/>
      <c r="H53" s="766"/>
      <c r="I53" s="766"/>
      <c r="J53" s="766"/>
      <c r="K53" s="766"/>
      <c r="L53" s="766"/>
      <c r="M53" s="766"/>
      <c r="N53" s="766"/>
      <c r="O53" s="766"/>
      <c r="P53" s="766"/>
      <c r="Q53" s="766"/>
      <c r="R53" s="766"/>
      <c r="S53" s="766"/>
      <c r="T53" s="47" t="s">
        <v>91</v>
      </c>
      <c r="U53" s="9"/>
    </row>
    <row r="54" spans="1:21">
      <c r="A54" s="45"/>
      <c r="B54" s="34"/>
      <c r="C54" s="45"/>
      <c r="D54" s="2"/>
      <c r="E54" s="76"/>
      <c r="F54" s="76"/>
      <c r="G54" s="76"/>
      <c r="H54" s="76"/>
      <c r="I54" s="76"/>
      <c r="J54" s="76"/>
      <c r="K54" s="76"/>
      <c r="L54" s="76"/>
      <c r="M54" s="76"/>
      <c r="N54" s="76"/>
      <c r="O54" s="76"/>
      <c r="P54" s="76"/>
      <c r="Q54" s="76"/>
      <c r="R54" s="76"/>
      <c r="S54" s="76"/>
      <c r="T54" s="76"/>
      <c r="U54" s="9"/>
    </row>
    <row r="55" spans="1:21" hidden="1">
      <c r="B55" s="32" t="s">
        <v>92</v>
      </c>
      <c r="C55" s="42"/>
      <c r="D55" s="45"/>
      <c r="E55" s="76"/>
      <c r="F55" s="76"/>
      <c r="G55" s="76"/>
      <c r="H55" s="76"/>
      <c r="I55" s="76"/>
      <c r="J55" s="76"/>
      <c r="K55" s="76"/>
      <c r="L55" s="76"/>
      <c r="M55" s="76"/>
      <c r="N55" s="76"/>
      <c r="O55" s="76"/>
      <c r="P55" s="76"/>
      <c r="Q55" s="76"/>
      <c r="R55" s="76"/>
      <c r="S55" s="76"/>
      <c r="T55" s="76"/>
      <c r="U55" s="9"/>
    </row>
    <row r="56" spans="1:21" hidden="1">
      <c r="B56" s="34" t="s">
        <v>93</v>
      </c>
      <c r="C56" s="80"/>
      <c r="E56" s="76"/>
      <c r="F56" s="76"/>
      <c r="G56" s="76"/>
      <c r="H56" s="76"/>
      <c r="I56" s="76"/>
      <c r="J56" s="76"/>
      <c r="K56" s="76"/>
      <c r="L56" s="76"/>
      <c r="M56" s="76"/>
      <c r="N56" s="76"/>
      <c r="O56" s="76"/>
      <c r="P56" s="76"/>
      <c r="Q56" s="76"/>
      <c r="R56" s="76"/>
      <c r="S56" s="76"/>
      <c r="T56" s="76"/>
      <c r="U56" s="9"/>
    </row>
    <row r="57" spans="1:21" hidden="1">
      <c r="B57" s="34" t="s">
        <v>94</v>
      </c>
      <c r="C57" s="80"/>
      <c r="E57" s="76"/>
      <c r="F57" s="76"/>
      <c r="G57" s="76"/>
      <c r="H57" s="76"/>
      <c r="I57" s="76"/>
      <c r="J57" s="76"/>
      <c r="K57" s="76"/>
      <c r="L57" s="76"/>
      <c r="M57" s="76"/>
      <c r="N57" s="76"/>
      <c r="O57" s="76"/>
      <c r="P57" s="76"/>
      <c r="Q57" s="76"/>
      <c r="R57" s="76"/>
      <c r="S57" s="76"/>
      <c r="T57" s="76"/>
      <c r="U57" s="9"/>
    </row>
    <row r="58" spans="1:21" hidden="1">
      <c r="B58" s="34" t="s">
        <v>95</v>
      </c>
      <c r="C58" s="80"/>
      <c r="E58" s="76"/>
      <c r="F58" s="76"/>
      <c r="G58" s="76"/>
      <c r="H58" s="76"/>
      <c r="I58" s="76"/>
      <c r="J58" s="76"/>
      <c r="K58" s="76"/>
      <c r="L58" s="76"/>
      <c r="M58" s="76"/>
      <c r="N58" s="76"/>
      <c r="O58" s="76"/>
      <c r="P58" s="76"/>
      <c r="Q58" s="76"/>
      <c r="R58" s="76"/>
      <c r="S58" s="76"/>
      <c r="T58" s="76"/>
      <c r="U58" s="9"/>
    </row>
    <row r="59" spans="1:21" hidden="1">
      <c r="B59" s="34" t="s">
        <v>96</v>
      </c>
      <c r="C59" s="80"/>
      <c r="E59" s="76"/>
      <c r="F59" s="76"/>
      <c r="G59" s="76"/>
      <c r="H59" s="76"/>
      <c r="I59" s="76"/>
      <c r="J59" s="76"/>
      <c r="K59" s="76"/>
      <c r="L59" s="76"/>
      <c r="M59" s="76"/>
      <c r="N59" s="76"/>
      <c r="O59" s="76"/>
      <c r="P59" s="76"/>
      <c r="Q59" s="76"/>
      <c r="R59" s="76"/>
      <c r="S59" s="76"/>
      <c r="T59" s="76"/>
      <c r="U59" s="9"/>
    </row>
    <row r="60" spans="1:21" hidden="1">
      <c r="B60" s="34" t="s">
        <v>96</v>
      </c>
      <c r="C60" s="80"/>
      <c r="E60" s="76"/>
      <c r="F60" s="76"/>
      <c r="G60" s="76"/>
      <c r="H60" s="76"/>
      <c r="I60" s="76"/>
      <c r="J60" s="76"/>
      <c r="K60" s="76"/>
      <c r="L60" s="76"/>
      <c r="M60" s="76"/>
      <c r="N60" s="76"/>
      <c r="O60" s="76"/>
      <c r="P60" s="76"/>
      <c r="Q60" s="76"/>
      <c r="R60" s="76"/>
      <c r="S60" s="76"/>
      <c r="T60" s="76"/>
      <c r="U60" s="9"/>
    </row>
    <row r="61" spans="1:21" hidden="1">
      <c r="B61" s="34"/>
      <c r="C61" s="81"/>
      <c r="E61" s="76"/>
      <c r="F61" s="76"/>
      <c r="G61" s="76"/>
      <c r="H61" s="76"/>
      <c r="I61" s="76"/>
      <c r="J61" s="76"/>
      <c r="K61" s="76"/>
      <c r="L61" s="76"/>
      <c r="M61" s="76"/>
      <c r="N61" s="76"/>
      <c r="O61" s="76"/>
      <c r="P61" s="76"/>
      <c r="Q61" s="76"/>
      <c r="R61" s="76"/>
      <c r="S61" s="76"/>
      <c r="T61" s="76"/>
      <c r="U61" s="9"/>
    </row>
    <row r="62" spans="1:21">
      <c r="B62" s="32" t="s">
        <v>88</v>
      </c>
      <c r="C62" s="80"/>
      <c r="E62" s="76"/>
      <c r="F62" s="76"/>
      <c r="G62" s="76"/>
      <c r="H62" s="76"/>
      <c r="I62" s="76"/>
      <c r="J62" s="76"/>
      <c r="K62" s="76"/>
      <c r="L62" s="76"/>
      <c r="M62" s="76"/>
      <c r="N62" s="76"/>
      <c r="O62" s="76"/>
      <c r="P62" s="76"/>
      <c r="Q62" s="76"/>
      <c r="R62" s="76"/>
      <c r="S62" s="76"/>
      <c r="T62" s="76"/>
      <c r="U62" s="9"/>
    </row>
    <row r="63" spans="1:21" hidden="1">
      <c r="B63" s="34" t="s">
        <v>97</v>
      </c>
      <c r="C63" s="80"/>
      <c r="E63" s="76"/>
      <c r="F63" s="76"/>
      <c r="G63" s="76"/>
      <c r="H63" s="76"/>
      <c r="I63" s="76"/>
      <c r="J63" s="76"/>
      <c r="K63" s="76"/>
      <c r="L63" s="76"/>
      <c r="M63" s="76"/>
      <c r="N63" s="76"/>
      <c r="O63" s="76"/>
      <c r="P63" s="76"/>
      <c r="Q63" s="76"/>
      <c r="R63" s="76"/>
      <c r="S63" s="76"/>
      <c r="T63" s="76"/>
      <c r="U63" s="9"/>
    </row>
    <row r="64" spans="1:21" hidden="1">
      <c r="B64" s="34" t="s">
        <v>98</v>
      </c>
      <c r="C64" s="80"/>
      <c r="E64" s="76"/>
      <c r="F64" s="76"/>
      <c r="G64" s="76"/>
      <c r="H64" s="76"/>
      <c r="I64" s="76"/>
      <c r="J64" s="76"/>
      <c r="K64" s="76"/>
      <c r="L64" s="76"/>
      <c r="M64" s="76"/>
      <c r="N64" s="76"/>
      <c r="O64" s="76"/>
      <c r="P64" s="76"/>
      <c r="Q64" s="76"/>
      <c r="R64" s="76"/>
      <c r="S64" s="76"/>
      <c r="T64" s="76"/>
      <c r="U64" s="9"/>
    </row>
    <row r="65" spans="2:21" hidden="1">
      <c r="B65" s="34" t="s">
        <v>99</v>
      </c>
      <c r="C65" s="80"/>
      <c r="E65" s="76"/>
      <c r="F65" s="76"/>
      <c r="G65" s="76"/>
      <c r="H65" s="76"/>
      <c r="I65" s="76"/>
      <c r="J65" s="76"/>
      <c r="K65" s="76"/>
      <c r="L65" s="76"/>
      <c r="M65" s="76"/>
      <c r="N65" s="76"/>
      <c r="O65" s="76"/>
      <c r="P65" s="76"/>
      <c r="Q65" s="76"/>
      <c r="R65" s="76"/>
      <c r="S65" s="76"/>
      <c r="T65" s="76"/>
      <c r="U65" s="9"/>
    </row>
    <row r="66" spans="2:21" hidden="1">
      <c r="B66" s="34" t="s">
        <v>100</v>
      </c>
      <c r="C66" s="80"/>
      <c r="E66" s="76"/>
      <c r="F66" s="76"/>
      <c r="G66" s="76"/>
      <c r="H66" s="76"/>
      <c r="I66" s="76"/>
      <c r="J66" s="76"/>
      <c r="K66" s="76"/>
      <c r="L66" s="76"/>
      <c r="M66" s="76"/>
      <c r="N66" s="76"/>
      <c r="O66" s="76"/>
      <c r="P66" s="76"/>
      <c r="Q66" s="76"/>
      <c r="R66" s="76"/>
      <c r="S66" s="76"/>
      <c r="T66" s="76"/>
      <c r="U66" s="9"/>
    </row>
    <row r="67" spans="2:21" hidden="1">
      <c r="B67" s="34" t="s">
        <v>101</v>
      </c>
      <c r="C67" s="80"/>
      <c r="E67" s="76"/>
      <c r="F67" s="76"/>
      <c r="G67" s="76"/>
      <c r="H67" s="76"/>
      <c r="I67" s="76"/>
      <c r="J67" s="76"/>
      <c r="K67" s="76"/>
      <c r="L67" s="76"/>
      <c r="M67" s="76"/>
      <c r="N67" s="76"/>
      <c r="O67" s="76"/>
      <c r="P67" s="76"/>
      <c r="Q67" s="76"/>
      <c r="R67" s="76"/>
      <c r="S67" s="76"/>
      <c r="T67" s="76"/>
      <c r="U67" s="9"/>
    </row>
    <row r="68" spans="2:21">
      <c r="B68" s="34" t="str">
        <f>'3) Pre-Opening Budget'!B30</f>
        <v>CSP Startup Grant</v>
      </c>
      <c r="C68" s="80"/>
      <c r="E68" s="82">
        <f>'3) Pre-Opening Budget'!E30</f>
        <v>200000</v>
      </c>
      <c r="F68" s="66">
        <f>E68</f>
        <v>200000</v>
      </c>
      <c r="G68" s="66">
        <v>0</v>
      </c>
      <c r="H68" s="66">
        <v>0</v>
      </c>
      <c r="I68" s="66">
        <v>0</v>
      </c>
      <c r="J68" s="66">
        <v>0</v>
      </c>
      <c r="K68" s="66">
        <v>0</v>
      </c>
      <c r="L68" s="66">
        <v>0</v>
      </c>
      <c r="M68" s="66">
        <v>0</v>
      </c>
      <c r="N68" s="66">
        <v>0</v>
      </c>
      <c r="O68" s="66">
        <v>0</v>
      </c>
      <c r="P68" s="66">
        <v>0</v>
      </c>
      <c r="Q68" s="66">
        <v>0</v>
      </c>
      <c r="R68" s="58">
        <f t="shared" ref="R68:R84" si="19">SUM(F68:Q68)</f>
        <v>200000</v>
      </c>
      <c r="S68" s="58">
        <f t="shared" ref="S68:S70" si="20">E68-R68</f>
        <v>0</v>
      </c>
      <c r="T68" s="106"/>
      <c r="U68" s="9"/>
    </row>
    <row r="69" spans="2:21" hidden="1">
      <c r="B69" s="34" t="s">
        <v>96</v>
      </c>
      <c r="C69" s="80"/>
      <c r="E69" s="82">
        <f>'3) Pre-Opening Budget'!E31</f>
        <v>0</v>
      </c>
      <c r="F69" s="49">
        <v>0</v>
      </c>
      <c r="G69" s="49">
        <v>0</v>
      </c>
      <c r="H69" s="49">
        <v>0</v>
      </c>
      <c r="I69" s="49">
        <v>0</v>
      </c>
      <c r="J69" s="49">
        <v>0</v>
      </c>
      <c r="K69" s="49">
        <v>0</v>
      </c>
      <c r="L69" s="49">
        <v>0</v>
      </c>
      <c r="M69" s="49">
        <v>0</v>
      </c>
      <c r="N69" s="49">
        <v>0</v>
      </c>
      <c r="O69" s="49">
        <v>0</v>
      </c>
      <c r="P69" s="49">
        <v>0</v>
      </c>
      <c r="Q69" s="49">
        <v>0</v>
      </c>
      <c r="R69" s="58">
        <f t="shared" si="19"/>
        <v>0</v>
      </c>
      <c r="S69" s="58">
        <f t="shared" si="20"/>
        <v>0</v>
      </c>
      <c r="T69" s="113"/>
      <c r="U69" s="9"/>
    </row>
    <row r="70" spans="2:21" hidden="1">
      <c r="B70" s="34" t="s">
        <v>96</v>
      </c>
      <c r="C70" s="80"/>
      <c r="E70" s="82">
        <f>'3) Pre-Opening Budget'!E32</f>
        <v>0</v>
      </c>
      <c r="F70" s="49">
        <v>0</v>
      </c>
      <c r="G70" s="49">
        <v>0</v>
      </c>
      <c r="H70" s="49">
        <v>0</v>
      </c>
      <c r="I70" s="49">
        <v>0</v>
      </c>
      <c r="J70" s="49">
        <v>0</v>
      </c>
      <c r="K70" s="49">
        <v>0</v>
      </c>
      <c r="L70" s="49">
        <v>0</v>
      </c>
      <c r="M70" s="49">
        <v>0</v>
      </c>
      <c r="N70" s="49">
        <v>0</v>
      </c>
      <c r="O70" s="49">
        <v>0</v>
      </c>
      <c r="P70" s="49">
        <v>0</v>
      </c>
      <c r="Q70" s="49">
        <v>0</v>
      </c>
      <c r="R70" s="58">
        <f t="shared" si="19"/>
        <v>0</v>
      </c>
      <c r="S70" s="58">
        <f t="shared" si="20"/>
        <v>0</v>
      </c>
      <c r="T70" s="113"/>
      <c r="U70" s="9"/>
    </row>
    <row r="71" spans="2:21">
      <c r="B71" s="34"/>
      <c r="C71" s="81"/>
      <c r="E71" s="77"/>
      <c r="F71" s="52"/>
      <c r="G71" s="52"/>
      <c r="H71" s="52"/>
      <c r="I71" s="52"/>
      <c r="J71" s="52"/>
      <c r="K71" s="52"/>
      <c r="L71" s="52"/>
      <c r="M71" s="52"/>
      <c r="N71" s="52"/>
      <c r="O71" s="52"/>
      <c r="P71" s="52"/>
      <c r="Q71" s="52"/>
      <c r="R71" s="52"/>
      <c r="S71" s="63"/>
      <c r="T71" s="108"/>
      <c r="U71" s="9"/>
    </row>
    <row r="72" spans="2:21" hidden="1">
      <c r="B72" s="32" t="s">
        <v>103</v>
      </c>
      <c r="C72" s="81"/>
      <c r="E72" s="77">
        <f>'3) Pre-Opening Budget'!E34</f>
        <v>0</v>
      </c>
      <c r="F72" s="52"/>
      <c r="G72" s="52"/>
      <c r="H72" s="52"/>
      <c r="I72" s="52"/>
      <c r="J72" s="52"/>
      <c r="K72" s="52"/>
      <c r="L72" s="52"/>
      <c r="M72" s="52"/>
      <c r="N72" s="52"/>
      <c r="O72" s="52"/>
      <c r="P72" s="52"/>
      <c r="Q72" s="52"/>
      <c r="R72" s="52"/>
      <c r="S72" s="63"/>
      <c r="T72" s="108"/>
      <c r="U72" s="9"/>
    </row>
    <row r="73" spans="2:21" hidden="1">
      <c r="B73" s="34" t="s">
        <v>96</v>
      </c>
      <c r="C73" s="80"/>
      <c r="E73" s="82">
        <f>'3) Pre-Opening Budget'!E35</f>
        <v>0</v>
      </c>
      <c r="F73" s="49">
        <v>0</v>
      </c>
      <c r="G73" s="49">
        <v>0</v>
      </c>
      <c r="H73" s="49">
        <v>0</v>
      </c>
      <c r="I73" s="49">
        <v>0</v>
      </c>
      <c r="J73" s="49">
        <v>0</v>
      </c>
      <c r="K73" s="49">
        <v>0</v>
      </c>
      <c r="L73" s="49">
        <v>0</v>
      </c>
      <c r="M73" s="49">
        <v>0</v>
      </c>
      <c r="N73" s="49">
        <v>0</v>
      </c>
      <c r="O73" s="49">
        <v>0</v>
      </c>
      <c r="P73" s="49">
        <v>0</v>
      </c>
      <c r="Q73" s="49">
        <v>0</v>
      </c>
      <c r="R73" s="49">
        <v>0</v>
      </c>
      <c r="S73" s="58">
        <f t="shared" ref="S73:S77" si="21">E73-R73</f>
        <v>0</v>
      </c>
      <c r="T73" s="113"/>
      <c r="U73" s="9"/>
    </row>
    <row r="74" spans="2:21" hidden="1">
      <c r="B74" s="34" t="s">
        <v>96</v>
      </c>
      <c r="C74" s="80"/>
      <c r="E74" s="82">
        <f>'3) Pre-Opening Budget'!E36</f>
        <v>0</v>
      </c>
      <c r="F74" s="49">
        <v>0</v>
      </c>
      <c r="G74" s="49">
        <v>0</v>
      </c>
      <c r="H74" s="49">
        <v>0</v>
      </c>
      <c r="I74" s="49">
        <v>0</v>
      </c>
      <c r="J74" s="49">
        <v>0</v>
      </c>
      <c r="K74" s="49">
        <v>0</v>
      </c>
      <c r="L74" s="49">
        <v>0</v>
      </c>
      <c r="M74" s="49">
        <v>0</v>
      </c>
      <c r="N74" s="49">
        <v>0</v>
      </c>
      <c r="O74" s="49">
        <v>0</v>
      </c>
      <c r="P74" s="49">
        <v>0</v>
      </c>
      <c r="Q74" s="49">
        <v>0</v>
      </c>
      <c r="R74" s="49">
        <v>0</v>
      </c>
      <c r="S74" s="58">
        <f t="shared" si="21"/>
        <v>0</v>
      </c>
      <c r="T74" s="113"/>
      <c r="U74" s="9"/>
    </row>
    <row r="75" spans="2:21" hidden="1">
      <c r="B75" s="34" t="s">
        <v>96</v>
      </c>
      <c r="C75" s="80"/>
      <c r="E75" s="82">
        <f>'3) Pre-Opening Budget'!E37</f>
        <v>0</v>
      </c>
      <c r="F75" s="49">
        <v>0</v>
      </c>
      <c r="G75" s="49">
        <v>0</v>
      </c>
      <c r="H75" s="49">
        <v>0</v>
      </c>
      <c r="I75" s="49">
        <v>0</v>
      </c>
      <c r="J75" s="49">
        <v>0</v>
      </c>
      <c r="K75" s="49">
        <v>0</v>
      </c>
      <c r="L75" s="49">
        <v>0</v>
      </c>
      <c r="M75" s="49">
        <v>0</v>
      </c>
      <c r="N75" s="49">
        <v>0</v>
      </c>
      <c r="O75" s="49">
        <v>0</v>
      </c>
      <c r="P75" s="49">
        <v>0</v>
      </c>
      <c r="Q75" s="49">
        <v>0</v>
      </c>
      <c r="R75" s="49">
        <v>0</v>
      </c>
      <c r="S75" s="58">
        <f t="shared" si="21"/>
        <v>0</v>
      </c>
      <c r="T75" s="113"/>
      <c r="U75" s="9"/>
    </row>
    <row r="76" spans="2:21" hidden="1">
      <c r="B76" s="34" t="s">
        <v>96</v>
      </c>
      <c r="C76" s="80"/>
      <c r="E76" s="82">
        <f>'3) Pre-Opening Budget'!E38</f>
        <v>0</v>
      </c>
      <c r="F76" s="49">
        <v>0</v>
      </c>
      <c r="G76" s="49">
        <v>0</v>
      </c>
      <c r="H76" s="49">
        <v>0</v>
      </c>
      <c r="I76" s="49">
        <v>0</v>
      </c>
      <c r="J76" s="49">
        <v>0</v>
      </c>
      <c r="K76" s="49">
        <v>0</v>
      </c>
      <c r="L76" s="49">
        <v>0</v>
      </c>
      <c r="M76" s="49">
        <v>0</v>
      </c>
      <c r="N76" s="49">
        <v>0</v>
      </c>
      <c r="O76" s="49">
        <v>0</v>
      </c>
      <c r="P76" s="49">
        <v>0</v>
      </c>
      <c r="Q76" s="49">
        <v>0</v>
      </c>
      <c r="R76" s="49">
        <v>0</v>
      </c>
      <c r="S76" s="58">
        <f t="shared" si="21"/>
        <v>0</v>
      </c>
      <c r="T76" s="113"/>
      <c r="U76" s="9"/>
    </row>
    <row r="77" spans="2:21" hidden="1">
      <c r="B77" s="34" t="s">
        <v>96</v>
      </c>
      <c r="C77" s="80"/>
      <c r="E77" s="82">
        <f>'3) Pre-Opening Budget'!E39</f>
        <v>0</v>
      </c>
      <c r="F77" s="49">
        <v>0</v>
      </c>
      <c r="G77" s="49">
        <v>0</v>
      </c>
      <c r="H77" s="49">
        <v>0</v>
      </c>
      <c r="I77" s="49">
        <v>0</v>
      </c>
      <c r="J77" s="49">
        <v>0</v>
      </c>
      <c r="K77" s="49">
        <v>0</v>
      </c>
      <c r="L77" s="49">
        <v>0</v>
      </c>
      <c r="M77" s="49">
        <v>0</v>
      </c>
      <c r="N77" s="49">
        <v>0</v>
      </c>
      <c r="O77" s="49">
        <v>0</v>
      </c>
      <c r="P77" s="49">
        <v>0</v>
      </c>
      <c r="Q77" s="49">
        <v>0</v>
      </c>
      <c r="R77" s="49">
        <v>0</v>
      </c>
      <c r="S77" s="58">
        <f t="shared" si="21"/>
        <v>0</v>
      </c>
      <c r="T77" s="113"/>
      <c r="U77" s="9"/>
    </row>
    <row r="78" spans="2:21" hidden="1">
      <c r="B78" s="34"/>
      <c r="C78" s="81"/>
      <c r="E78" s="77">
        <f>'3) Pre-Opening Budget'!E40</f>
        <v>0</v>
      </c>
      <c r="F78" s="52"/>
      <c r="G78" s="52"/>
      <c r="H78" s="52"/>
      <c r="I78" s="52"/>
      <c r="J78" s="52"/>
      <c r="K78" s="52"/>
      <c r="L78" s="52"/>
      <c r="M78" s="52"/>
      <c r="N78" s="52"/>
      <c r="O78" s="52"/>
      <c r="P78" s="52"/>
      <c r="Q78" s="52"/>
      <c r="R78" s="52"/>
      <c r="S78" s="63"/>
      <c r="T78" s="108"/>
      <c r="U78" s="9"/>
    </row>
    <row r="79" spans="2:21">
      <c r="B79" s="32" t="s">
        <v>104</v>
      </c>
      <c r="C79" s="81"/>
      <c r="E79" s="77"/>
      <c r="F79" s="52"/>
      <c r="G79" s="52"/>
      <c r="H79" s="52"/>
      <c r="I79" s="52"/>
      <c r="J79" s="52"/>
      <c r="K79" s="52"/>
      <c r="L79" s="52"/>
      <c r="M79" s="52"/>
      <c r="N79" s="52"/>
      <c r="O79" s="52"/>
      <c r="P79" s="52"/>
      <c r="Q79" s="52"/>
      <c r="R79" s="52"/>
      <c r="S79" s="63"/>
      <c r="T79" s="108"/>
      <c r="U79" s="9"/>
    </row>
    <row r="80" spans="2:21">
      <c r="B80" s="34" t="str">
        <f>'3) Pre-Opening Budget'!B42</f>
        <v>Other</v>
      </c>
      <c r="C80" s="80"/>
      <c r="E80" s="82">
        <f>'3) Pre-Opening Budget'!E42</f>
        <v>0</v>
      </c>
      <c r="F80" s="65">
        <v>0</v>
      </c>
      <c r="G80" s="65">
        <v>0</v>
      </c>
      <c r="H80" s="65">
        <v>0</v>
      </c>
      <c r="I80" s="65">
        <v>0</v>
      </c>
      <c r="J80" s="65">
        <v>0</v>
      </c>
      <c r="K80" s="65">
        <v>0</v>
      </c>
      <c r="L80" s="65">
        <v>0</v>
      </c>
      <c r="M80" s="65">
        <v>0</v>
      </c>
      <c r="N80" s="65">
        <v>0</v>
      </c>
      <c r="O80" s="65">
        <v>0</v>
      </c>
      <c r="P80" s="65">
        <v>0</v>
      </c>
      <c r="Q80" s="65">
        <v>0</v>
      </c>
      <c r="R80" s="58">
        <f t="shared" si="19"/>
        <v>0</v>
      </c>
      <c r="S80" s="58">
        <f t="shared" ref="S80:S84" si="22">E80-R80</f>
        <v>0</v>
      </c>
      <c r="T80" s="106"/>
      <c r="U80" s="9"/>
    </row>
    <row r="81" spans="1:21">
      <c r="B81" s="34" t="str">
        <f>'3) Pre-Opening Budget'!B43</f>
        <v>Other</v>
      </c>
      <c r="C81" s="80"/>
      <c r="E81" s="82">
        <f>'3) Pre-Opening Budget'!E43</f>
        <v>250000</v>
      </c>
      <c r="F81" s="65">
        <f>E81</f>
        <v>250000</v>
      </c>
      <c r="G81" s="65">
        <v>0</v>
      </c>
      <c r="H81" s="65">
        <v>0</v>
      </c>
      <c r="I81" s="65">
        <v>0</v>
      </c>
      <c r="J81" s="65">
        <v>0</v>
      </c>
      <c r="K81" s="65">
        <v>0</v>
      </c>
      <c r="L81" s="65">
        <v>0</v>
      </c>
      <c r="M81" s="65">
        <v>0</v>
      </c>
      <c r="N81" s="65">
        <v>0</v>
      </c>
      <c r="O81" s="65">
        <v>0</v>
      </c>
      <c r="P81" s="65">
        <v>0</v>
      </c>
      <c r="Q81" s="65">
        <v>0</v>
      </c>
      <c r="R81" s="58">
        <f t="shared" si="19"/>
        <v>250000</v>
      </c>
      <c r="S81" s="58">
        <f t="shared" si="22"/>
        <v>0</v>
      </c>
      <c r="T81" s="106"/>
      <c r="U81" s="9"/>
    </row>
    <row r="82" spans="1:21">
      <c r="B82" s="34" t="str">
        <f>'3) Pre-Opening Budget'!B44</f>
        <v>Other</v>
      </c>
      <c r="C82" s="80"/>
      <c r="E82" s="82">
        <f>'3) Pre-Opening Budget'!E44</f>
        <v>295000</v>
      </c>
      <c r="F82" s="65">
        <f>E82</f>
        <v>295000</v>
      </c>
      <c r="G82" s="65">
        <v>0</v>
      </c>
      <c r="H82" s="65">
        <v>0</v>
      </c>
      <c r="I82" s="65">
        <v>0</v>
      </c>
      <c r="J82" s="65">
        <v>0</v>
      </c>
      <c r="K82" s="65">
        <v>0</v>
      </c>
      <c r="L82" s="65">
        <v>0</v>
      </c>
      <c r="M82" s="65">
        <v>0</v>
      </c>
      <c r="N82" s="65">
        <v>0</v>
      </c>
      <c r="O82" s="65">
        <v>0</v>
      </c>
      <c r="P82" s="65">
        <v>0</v>
      </c>
      <c r="Q82" s="65">
        <v>0</v>
      </c>
      <c r="R82" s="58">
        <f t="shared" si="19"/>
        <v>295000</v>
      </c>
      <c r="S82" s="58">
        <f t="shared" si="22"/>
        <v>0</v>
      </c>
      <c r="T82" s="106"/>
      <c r="U82" s="9"/>
    </row>
    <row r="83" spans="1:21">
      <c r="B83" s="34" t="str">
        <f>'3) Pre-Opening Budget'!B45</f>
        <v>Other</v>
      </c>
      <c r="C83" s="80"/>
      <c r="E83" s="82">
        <f>'3) Pre-Opening Budget'!E45</f>
        <v>0</v>
      </c>
      <c r="F83" s="65">
        <v>0</v>
      </c>
      <c r="G83" s="65">
        <v>0</v>
      </c>
      <c r="H83" s="65">
        <v>0</v>
      </c>
      <c r="I83" s="65">
        <v>0</v>
      </c>
      <c r="J83" s="65">
        <v>0</v>
      </c>
      <c r="K83" s="65">
        <v>0</v>
      </c>
      <c r="L83" s="65">
        <v>0</v>
      </c>
      <c r="M83" s="65">
        <v>0</v>
      </c>
      <c r="N83" s="65">
        <v>0</v>
      </c>
      <c r="O83" s="65">
        <v>0</v>
      </c>
      <c r="P83" s="65">
        <v>0</v>
      </c>
      <c r="Q83" s="65">
        <v>0</v>
      </c>
      <c r="R83" s="58">
        <f t="shared" si="19"/>
        <v>0</v>
      </c>
      <c r="S83" s="58">
        <f t="shared" si="22"/>
        <v>0</v>
      </c>
      <c r="T83" s="106"/>
      <c r="U83" s="9"/>
    </row>
    <row r="84" spans="1:21" ht="14.85" customHeight="1">
      <c r="B84" s="34" t="str">
        <f>'3) Pre-Opening Budget'!B46</f>
        <v>Other</v>
      </c>
      <c r="C84" s="80"/>
      <c r="E84" s="82">
        <f>'3) Pre-Opening Budget'!E46</f>
        <v>0</v>
      </c>
      <c r="F84" s="65">
        <v>0</v>
      </c>
      <c r="G84" s="65">
        <v>0</v>
      </c>
      <c r="H84" s="65">
        <v>0</v>
      </c>
      <c r="I84" s="65">
        <v>0</v>
      </c>
      <c r="J84" s="65">
        <v>0</v>
      </c>
      <c r="K84" s="65">
        <v>0</v>
      </c>
      <c r="L84" s="65">
        <v>0</v>
      </c>
      <c r="M84" s="65">
        <v>0</v>
      </c>
      <c r="N84" s="65">
        <v>0</v>
      </c>
      <c r="O84" s="65">
        <v>0</v>
      </c>
      <c r="P84" s="65">
        <v>0</v>
      </c>
      <c r="Q84" s="65">
        <v>0</v>
      </c>
      <c r="R84" s="58">
        <f t="shared" si="19"/>
        <v>0</v>
      </c>
      <c r="S84" s="58">
        <f t="shared" si="22"/>
        <v>0</v>
      </c>
      <c r="T84" s="106"/>
      <c r="U84" s="9"/>
    </row>
    <row r="85" spans="1:21">
      <c r="A85" s="45"/>
      <c r="B85" s="34"/>
      <c r="C85" s="45"/>
      <c r="D85" s="45"/>
      <c r="E85" s="30"/>
      <c r="F85" s="30"/>
      <c r="G85" s="30"/>
      <c r="H85" s="30"/>
      <c r="I85" s="30"/>
      <c r="J85" s="30"/>
      <c r="K85" s="30"/>
      <c r="L85" s="30"/>
      <c r="M85" s="30"/>
      <c r="N85" s="30"/>
      <c r="O85" s="30"/>
      <c r="P85" s="30"/>
      <c r="Q85" s="30"/>
      <c r="R85" s="30"/>
      <c r="S85" s="30"/>
      <c r="T85" s="30"/>
      <c r="U85" s="9"/>
    </row>
    <row r="86" spans="1:21" ht="15.75" thickBot="1">
      <c r="B86" s="31" t="s">
        <v>106</v>
      </c>
      <c r="E86" s="54">
        <f>'3) Pre-Opening Budget'!E48</f>
        <v>745000</v>
      </c>
      <c r="F86" s="54">
        <f>F68+SUM(F80:F84)</f>
        <v>745000</v>
      </c>
      <c r="G86" s="54">
        <f t="shared" ref="G86:S86" si="23">G68+SUM(G80:G84)</f>
        <v>0</v>
      </c>
      <c r="H86" s="54">
        <f t="shared" si="23"/>
        <v>0</v>
      </c>
      <c r="I86" s="54">
        <f t="shared" si="23"/>
        <v>0</v>
      </c>
      <c r="J86" s="54">
        <f t="shared" si="23"/>
        <v>0</v>
      </c>
      <c r="K86" s="54">
        <f t="shared" si="23"/>
        <v>0</v>
      </c>
      <c r="L86" s="54">
        <f t="shared" si="23"/>
        <v>0</v>
      </c>
      <c r="M86" s="54">
        <f t="shared" si="23"/>
        <v>0</v>
      </c>
      <c r="N86" s="54">
        <f t="shared" si="23"/>
        <v>0</v>
      </c>
      <c r="O86" s="54">
        <f t="shared" si="23"/>
        <v>0</v>
      </c>
      <c r="P86" s="54">
        <f t="shared" si="23"/>
        <v>0</v>
      </c>
      <c r="Q86" s="54">
        <f t="shared" si="23"/>
        <v>0</v>
      </c>
      <c r="R86" s="54">
        <f t="shared" si="23"/>
        <v>745000</v>
      </c>
      <c r="S86" s="54">
        <f t="shared" si="23"/>
        <v>0</v>
      </c>
      <c r="T86" s="55"/>
      <c r="U86" s="9"/>
    </row>
    <row r="87" spans="1:21" ht="16.5" thickTop="1" thickBot="1">
      <c r="B87" s="146"/>
      <c r="C87" s="21"/>
      <c r="D87" s="21"/>
      <c r="E87" s="147"/>
      <c r="F87" s="147"/>
      <c r="G87" s="147"/>
      <c r="H87" s="147"/>
      <c r="I87" s="147"/>
      <c r="J87" s="147"/>
      <c r="K87" s="147"/>
      <c r="L87" s="147"/>
      <c r="M87" s="147"/>
      <c r="N87" s="147"/>
      <c r="O87" s="147"/>
      <c r="P87" s="147"/>
      <c r="Q87" s="147"/>
      <c r="R87" s="147"/>
      <c r="S87" s="147"/>
      <c r="T87" s="147"/>
      <c r="U87" s="22"/>
    </row>
    <row r="88" spans="1:21">
      <c r="A88" s="45"/>
      <c r="B88" s="5"/>
      <c r="C88" s="6"/>
      <c r="D88" s="6"/>
      <c r="E88" s="780" t="s">
        <v>214</v>
      </c>
      <c r="F88" s="781"/>
      <c r="G88" s="782"/>
      <c r="H88" s="782"/>
      <c r="I88" s="782"/>
      <c r="J88" s="782"/>
      <c r="K88" s="782"/>
      <c r="L88" s="782"/>
      <c r="M88" s="782"/>
      <c r="N88" s="782"/>
      <c r="O88" s="782"/>
      <c r="P88" s="782"/>
      <c r="Q88" s="782"/>
      <c r="R88" s="782"/>
      <c r="S88" s="782"/>
      <c r="T88" s="132"/>
      <c r="U88" s="7"/>
    </row>
    <row r="89" spans="1:21">
      <c r="A89" s="45"/>
      <c r="B89" s="8"/>
      <c r="E89" s="19"/>
      <c r="F89" s="19"/>
      <c r="G89" s="19"/>
      <c r="H89" s="19"/>
      <c r="I89" s="19"/>
      <c r="J89" s="19"/>
      <c r="K89" s="19"/>
      <c r="L89" s="19"/>
      <c r="M89" s="19"/>
      <c r="N89" s="19"/>
      <c r="O89" s="19"/>
      <c r="P89" s="19"/>
      <c r="Q89" s="19"/>
      <c r="R89" s="19"/>
      <c r="S89" s="19"/>
      <c r="T89" s="19"/>
      <c r="U89" s="9"/>
    </row>
    <row r="90" spans="1:21">
      <c r="A90" s="45"/>
      <c r="B90" s="34"/>
      <c r="C90" s="45"/>
      <c r="D90" s="2"/>
      <c r="E90" s="83" t="str">
        <f>E10</f>
        <v>Year 0</v>
      </c>
      <c r="F90" s="83" t="str">
        <f t="shared" ref="F90:S92" si="24">F10</f>
        <v>Year 0</v>
      </c>
      <c r="G90" s="83" t="str">
        <f t="shared" si="24"/>
        <v>Year 0</v>
      </c>
      <c r="H90" s="83" t="str">
        <f t="shared" si="24"/>
        <v>Year 0</v>
      </c>
      <c r="I90" s="83" t="str">
        <f t="shared" si="24"/>
        <v>Year 0</v>
      </c>
      <c r="J90" s="83" t="str">
        <f t="shared" si="24"/>
        <v>Year 0</v>
      </c>
      <c r="K90" s="83" t="str">
        <f t="shared" si="24"/>
        <v>Year 0</v>
      </c>
      <c r="L90" s="83" t="str">
        <f t="shared" si="24"/>
        <v>Year 0</v>
      </c>
      <c r="M90" s="83" t="str">
        <f t="shared" si="24"/>
        <v>Year 0</v>
      </c>
      <c r="N90" s="83" t="str">
        <f t="shared" si="24"/>
        <v>Year 0</v>
      </c>
      <c r="O90" s="83" t="str">
        <f t="shared" si="24"/>
        <v>Year 0</v>
      </c>
      <c r="P90" s="83" t="str">
        <f t="shared" si="24"/>
        <v>Year 0</v>
      </c>
      <c r="Q90" s="83" t="str">
        <f t="shared" si="24"/>
        <v>Year 0</v>
      </c>
      <c r="R90" s="83" t="str">
        <f t="shared" si="24"/>
        <v>Year 0</v>
      </c>
      <c r="S90" s="83" t="str">
        <f t="shared" si="24"/>
        <v>Year 0</v>
      </c>
      <c r="T90" s="73"/>
      <c r="U90" s="9"/>
    </row>
    <row r="91" spans="1:21">
      <c r="A91" s="45"/>
      <c r="B91" s="34"/>
      <c r="C91" s="45"/>
      <c r="D91" s="45"/>
      <c r="E91" s="84" t="str">
        <f>E11</f>
        <v>2023-24</v>
      </c>
      <c r="F91" s="84" t="str">
        <f t="shared" si="24"/>
        <v>2023-24</v>
      </c>
      <c r="G91" s="84" t="str">
        <f t="shared" si="24"/>
        <v>2023-24</v>
      </c>
      <c r="H91" s="84" t="str">
        <f t="shared" si="24"/>
        <v>2023-24</v>
      </c>
      <c r="I91" s="84" t="str">
        <f t="shared" si="24"/>
        <v>2023-24</v>
      </c>
      <c r="J91" s="84" t="str">
        <f t="shared" si="24"/>
        <v>2023-24</v>
      </c>
      <c r="K91" s="84" t="str">
        <f t="shared" si="24"/>
        <v>2023-24</v>
      </c>
      <c r="L91" s="84" t="str">
        <f t="shared" si="24"/>
        <v>2023-24</v>
      </c>
      <c r="M91" s="84" t="str">
        <f t="shared" si="24"/>
        <v>2023-24</v>
      </c>
      <c r="N91" s="84" t="str">
        <f t="shared" si="24"/>
        <v>2023-24</v>
      </c>
      <c r="O91" s="84" t="str">
        <f t="shared" si="24"/>
        <v>2023-24</v>
      </c>
      <c r="P91" s="84" t="str">
        <f t="shared" si="24"/>
        <v>2023-24</v>
      </c>
      <c r="Q91" s="84" t="str">
        <f t="shared" si="24"/>
        <v>2023-24</v>
      </c>
      <c r="R91" s="84" t="str">
        <f t="shared" si="24"/>
        <v>2023-24</v>
      </c>
      <c r="S91" s="84" t="str">
        <f t="shared" si="24"/>
        <v>2023-24</v>
      </c>
      <c r="T91" s="85"/>
      <c r="U91" s="9"/>
    </row>
    <row r="92" spans="1:21">
      <c r="A92" s="45"/>
      <c r="B92" s="34"/>
      <c r="C92" s="45"/>
      <c r="D92" s="45"/>
      <c r="E92" s="84" t="str">
        <f>E12</f>
        <v>Total Budget</v>
      </c>
      <c r="F92" s="84" t="str">
        <f t="shared" si="24"/>
        <v>July</v>
      </c>
      <c r="G92" s="84" t="str">
        <f t="shared" si="24"/>
        <v>August</v>
      </c>
      <c r="H92" s="84" t="str">
        <f t="shared" si="24"/>
        <v>September</v>
      </c>
      <c r="I92" s="84" t="str">
        <f t="shared" si="24"/>
        <v>October</v>
      </c>
      <c r="J92" s="84" t="str">
        <f t="shared" si="24"/>
        <v>November</v>
      </c>
      <c r="K92" s="84" t="str">
        <f t="shared" si="24"/>
        <v>December</v>
      </c>
      <c r="L92" s="84" t="str">
        <f t="shared" si="24"/>
        <v>January</v>
      </c>
      <c r="M92" s="84" t="str">
        <f t="shared" si="24"/>
        <v>February</v>
      </c>
      <c r="N92" s="84" t="str">
        <f t="shared" si="24"/>
        <v>March</v>
      </c>
      <c r="O92" s="84" t="str">
        <f t="shared" si="24"/>
        <v>April</v>
      </c>
      <c r="P92" s="84" t="str">
        <f t="shared" si="24"/>
        <v>May</v>
      </c>
      <c r="Q92" s="84" t="str">
        <f t="shared" si="24"/>
        <v>June</v>
      </c>
      <c r="R92" s="84" t="str">
        <f t="shared" si="24"/>
        <v>Total</v>
      </c>
      <c r="S92" s="84" t="str">
        <f t="shared" si="24"/>
        <v>AR/AP</v>
      </c>
      <c r="T92" s="85"/>
      <c r="U92" s="9"/>
    </row>
    <row r="93" spans="1:21">
      <c r="A93" s="45"/>
      <c r="B93" s="34"/>
      <c r="C93" s="45"/>
      <c r="D93" s="45"/>
      <c r="E93" s="85"/>
      <c r="F93" s="85"/>
      <c r="G93" s="85"/>
      <c r="H93" s="85"/>
      <c r="I93" s="85"/>
      <c r="J93" s="85"/>
      <c r="K93" s="85"/>
      <c r="L93" s="85"/>
      <c r="M93" s="85"/>
      <c r="N93" s="85"/>
      <c r="O93" s="85"/>
      <c r="P93" s="85"/>
      <c r="Q93" s="85"/>
      <c r="R93" s="85"/>
      <c r="S93" s="85"/>
      <c r="T93" s="85"/>
      <c r="U93" s="9"/>
    </row>
    <row r="94" spans="1:21">
      <c r="A94" s="45"/>
      <c r="B94" s="29" t="s">
        <v>214</v>
      </c>
      <c r="C94" s="42"/>
      <c r="D94" s="45"/>
      <c r="E94" s="77"/>
      <c r="F94" s="52"/>
      <c r="G94" s="52"/>
      <c r="H94" s="52"/>
      <c r="I94" s="52"/>
      <c r="J94" s="52"/>
      <c r="K94" s="52"/>
      <c r="L94" s="52"/>
      <c r="M94" s="52"/>
      <c r="N94" s="52"/>
      <c r="O94" s="52"/>
      <c r="P94" s="52"/>
      <c r="Q94" s="52"/>
      <c r="R94" s="52"/>
      <c r="S94" s="52"/>
      <c r="T94" s="47" t="s">
        <v>91</v>
      </c>
      <c r="U94" s="9"/>
    </row>
    <row r="95" spans="1:21">
      <c r="A95" s="45"/>
      <c r="B95" s="27" t="str">
        <f>'3) Pre-Opening Budget'!B63</f>
        <v>Principal/School Leader</v>
      </c>
      <c r="C95" s="86"/>
      <c r="D95" s="45"/>
      <c r="E95" s="82">
        <f>'3) Pre-Opening Budget'!E63</f>
        <v>86760</v>
      </c>
      <c r="F95" s="65">
        <f>$E95/12</f>
        <v>7230</v>
      </c>
      <c r="G95" s="65">
        <f t="shared" ref="G95:Q99" si="25">$E95/12</f>
        <v>7230</v>
      </c>
      <c r="H95" s="65">
        <f t="shared" si="25"/>
        <v>7230</v>
      </c>
      <c r="I95" s="65">
        <f t="shared" si="25"/>
        <v>7230</v>
      </c>
      <c r="J95" s="65">
        <f t="shared" si="25"/>
        <v>7230</v>
      </c>
      <c r="K95" s="65">
        <f t="shared" si="25"/>
        <v>7230</v>
      </c>
      <c r="L95" s="65">
        <f t="shared" si="25"/>
        <v>7230</v>
      </c>
      <c r="M95" s="65">
        <f t="shared" si="25"/>
        <v>7230</v>
      </c>
      <c r="N95" s="65">
        <f t="shared" si="25"/>
        <v>7230</v>
      </c>
      <c r="O95" s="65">
        <f t="shared" si="25"/>
        <v>7230</v>
      </c>
      <c r="P95" s="65">
        <f t="shared" si="25"/>
        <v>7230</v>
      </c>
      <c r="Q95" s="65">
        <f t="shared" si="25"/>
        <v>7230</v>
      </c>
      <c r="R95" s="58">
        <f t="shared" ref="R95:R99" si="26">SUM(F95:Q95)</f>
        <v>86760</v>
      </c>
      <c r="S95" s="58">
        <f t="shared" ref="S95:S99" si="27">E95-R95</f>
        <v>0</v>
      </c>
      <c r="T95" s="107"/>
      <c r="U95" s="9"/>
    </row>
    <row r="96" spans="1:21">
      <c r="A96" s="45"/>
      <c r="B96" s="27" t="str">
        <f>'3) Pre-Opening Budget'!B64</f>
        <v>Assistant Principal</v>
      </c>
      <c r="C96" s="86"/>
      <c r="E96" s="82">
        <f>'3) Pre-Opening Budget'!E64</f>
        <v>70000</v>
      </c>
      <c r="F96" s="65">
        <f t="shared" ref="F96:F99" si="28">$E96/12</f>
        <v>5833.333333333333</v>
      </c>
      <c r="G96" s="65">
        <f t="shared" si="25"/>
        <v>5833.333333333333</v>
      </c>
      <c r="H96" s="65">
        <f t="shared" si="25"/>
        <v>5833.333333333333</v>
      </c>
      <c r="I96" s="65">
        <f t="shared" si="25"/>
        <v>5833.333333333333</v>
      </c>
      <c r="J96" s="65">
        <f t="shared" si="25"/>
        <v>5833.333333333333</v>
      </c>
      <c r="K96" s="65">
        <f t="shared" si="25"/>
        <v>5833.333333333333</v>
      </c>
      <c r="L96" s="65">
        <f t="shared" si="25"/>
        <v>5833.333333333333</v>
      </c>
      <c r="M96" s="65">
        <f t="shared" si="25"/>
        <v>5833.333333333333</v>
      </c>
      <c r="N96" s="65">
        <f t="shared" si="25"/>
        <v>5833.333333333333</v>
      </c>
      <c r="O96" s="65">
        <f t="shared" si="25"/>
        <v>5833.333333333333</v>
      </c>
      <c r="P96" s="65">
        <f t="shared" si="25"/>
        <v>5833.333333333333</v>
      </c>
      <c r="Q96" s="65">
        <f t="shared" si="25"/>
        <v>5833.333333333333</v>
      </c>
      <c r="R96" s="58">
        <f t="shared" si="26"/>
        <v>70000.000000000015</v>
      </c>
      <c r="S96" s="58">
        <f t="shared" si="27"/>
        <v>0</v>
      </c>
      <c r="T96" s="107"/>
      <c r="U96" s="9"/>
    </row>
    <row r="97" spans="1:21">
      <c r="A97" s="45"/>
      <c r="B97" s="27" t="str">
        <f>'3) Pre-Opening Budget'!B65</f>
        <v>Special Education Coordinator</v>
      </c>
      <c r="C97" s="86"/>
      <c r="E97" s="82">
        <f>'3) Pre-Opening Budget'!E65</f>
        <v>0</v>
      </c>
      <c r="F97" s="65">
        <f t="shared" si="28"/>
        <v>0</v>
      </c>
      <c r="G97" s="65">
        <f t="shared" si="25"/>
        <v>0</v>
      </c>
      <c r="H97" s="65">
        <f t="shared" si="25"/>
        <v>0</v>
      </c>
      <c r="I97" s="65">
        <f t="shared" si="25"/>
        <v>0</v>
      </c>
      <c r="J97" s="65">
        <f t="shared" si="25"/>
        <v>0</v>
      </c>
      <c r="K97" s="65">
        <f t="shared" si="25"/>
        <v>0</v>
      </c>
      <c r="L97" s="65">
        <f t="shared" si="25"/>
        <v>0</v>
      </c>
      <c r="M97" s="65">
        <f t="shared" si="25"/>
        <v>0</v>
      </c>
      <c r="N97" s="65">
        <f t="shared" si="25"/>
        <v>0</v>
      </c>
      <c r="O97" s="65">
        <f t="shared" si="25"/>
        <v>0</v>
      </c>
      <c r="P97" s="65">
        <f t="shared" si="25"/>
        <v>0</v>
      </c>
      <c r="Q97" s="65">
        <f t="shared" si="25"/>
        <v>0</v>
      </c>
      <c r="R97" s="58">
        <f t="shared" si="26"/>
        <v>0</v>
      </c>
      <c r="S97" s="58">
        <f t="shared" si="27"/>
        <v>0</v>
      </c>
      <c r="T97" s="107"/>
      <c r="U97" s="9"/>
    </row>
    <row r="98" spans="1:21">
      <c r="A98" s="45"/>
      <c r="B98" s="27" t="str">
        <f>'3) Pre-Opening Budget'!B66</f>
        <v>Deans, Directors</v>
      </c>
      <c r="C98" s="86"/>
      <c r="E98" s="82">
        <f>'3) Pre-Opening Budget'!E66</f>
        <v>0</v>
      </c>
      <c r="F98" s="65">
        <f t="shared" si="28"/>
        <v>0</v>
      </c>
      <c r="G98" s="65">
        <f t="shared" si="25"/>
        <v>0</v>
      </c>
      <c r="H98" s="65">
        <f t="shared" si="25"/>
        <v>0</v>
      </c>
      <c r="I98" s="65">
        <f t="shared" si="25"/>
        <v>0</v>
      </c>
      <c r="J98" s="65">
        <f t="shared" si="25"/>
        <v>0</v>
      </c>
      <c r="K98" s="65">
        <f t="shared" si="25"/>
        <v>0</v>
      </c>
      <c r="L98" s="65">
        <f t="shared" si="25"/>
        <v>0</v>
      </c>
      <c r="M98" s="65">
        <f t="shared" si="25"/>
        <v>0</v>
      </c>
      <c r="N98" s="65">
        <f t="shared" si="25"/>
        <v>0</v>
      </c>
      <c r="O98" s="65">
        <f t="shared" si="25"/>
        <v>0</v>
      </c>
      <c r="P98" s="65">
        <f t="shared" si="25"/>
        <v>0</v>
      </c>
      <c r="Q98" s="65">
        <f t="shared" si="25"/>
        <v>0</v>
      </c>
      <c r="R98" s="58">
        <f t="shared" si="26"/>
        <v>0</v>
      </c>
      <c r="S98" s="58">
        <f t="shared" si="27"/>
        <v>0</v>
      </c>
      <c r="T98" s="107"/>
      <c r="U98" s="9"/>
    </row>
    <row r="99" spans="1:21">
      <c r="A99" s="45"/>
      <c r="B99" s="27" t="str">
        <f>'3) Pre-Opening Budget'!B67</f>
        <v>Other (Specify in Assumptions)</v>
      </c>
      <c r="C99" s="86"/>
      <c r="E99" s="82">
        <f>'3) Pre-Opening Budget'!E67</f>
        <v>0</v>
      </c>
      <c r="F99" s="65">
        <f t="shared" si="28"/>
        <v>0</v>
      </c>
      <c r="G99" s="65">
        <f t="shared" si="25"/>
        <v>0</v>
      </c>
      <c r="H99" s="65">
        <f t="shared" si="25"/>
        <v>0</v>
      </c>
      <c r="I99" s="65">
        <f t="shared" si="25"/>
        <v>0</v>
      </c>
      <c r="J99" s="65">
        <f t="shared" si="25"/>
        <v>0</v>
      </c>
      <c r="K99" s="65">
        <f t="shared" si="25"/>
        <v>0</v>
      </c>
      <c r="L99" s="65">
        <f t="shared" si="25"/>
        <v>0</v>
      </c>
      <c r="M99" s="65">
        <f t="shared" si="25"/>
        <v>0</v>
      </c>
      <c r="N99" s="65">
        <f t="shared" si="25"/>
        <v>0</v>
      </c>
      <c r="O99" s="65">
        <f t="shared" si="25"/>
        <v>0</v>
      </c>
      <c r="P99" s="65">
        <f t="shared" si="25"/>
        <v>0</v>
      </c>
      <c r="Q99" s="65">
        <f t="shared" si="25"/>
        <v>0</v>
      </c>
      <c r="R99" s="58">
        <f t="shared" si="26"/>
        <v>0</v>
      </c>
      <c r="S99" s="58">
        <f t="shared" si="27"/>
        <v>0</v>
      </c>
      <c r="T99" s="107"/>
      <c r="U99" s="9"/>
    </row>
    <row r="100" spans="1:21">
      <c r="A100" s="45"/>
      <c r="B100" s="29" t="str">
        <f>'[4]5) Year 1-5 Staff Assumptions'!B56</f>
        <v>Total Administrative Compensation</v>
      </c>
      <c r="C100" s="59"/>
      <c r="D100" s="87"/>
      <c r="E100" s="82">
        <f>'3) Pre-Opening Budget'!E68</f>
        <v>156760</v>
      </c>
      <c r="F100" s="90">
        <f>SUM(F95:F99)</f>
        <v>13063.333333333332</v>
      </c>
      <c r="G100" s="90">
        <f t="shared" ref="G100:S100" si="29">SUM(G95:G99)</f>
        <v>13063.333333333332</v>
      </c>
      <c r="H100" s="90">
        <f t="shared" si="29"/>
        <v>13063.333333333332</v>
      </c>
      <c r="I100" s="90">
        <f t="shared" si="29"/>
        <v>13063.333333333332</v>
      </c>
      <c r="J100" s="90">
        <f t="shared" si="29"/>
        <v>13063.333333333332</v>
      </c>
      <c r="K100" s="90">
        <f t="shared" si="29"/>
        <v>13063.333333333332</v>
      </c>
      <c r="L100" s="90">
        <f t="shared" si="29"/>
        <v>13063.333333333332</v>
      </c>
      <c r="M100" s="90">
        <f t="shared" si="29"/>
        <v>13063.333333333332</v>
      </c>
      <c r="N100" s="90">
        <f t="shared" si="29"/>
        <v>13063.333333333332</v>
      </c>
      <c r="O100" s="90">
        <f t="shared" si="29"/>
        <v>13063.333333333332</v>
      </c>
      <c r="P100" s="90">
        <f t="shared" si="29"/>
        <v>13063.333333333332</v>
      </c>
      <c r="Q100" s="90">
        <f t="shared" si="29"/>
        <v>13063.333333333332</v>
      </c>
      <c r="R100" s="90">
        <f t="shared" si="29"/>
        <v>156760</v>
      </c>
      <c r="S100" s="90">
        <f t="shared" si="29"/>
        <v>0</v>
      </c>
      <c r="T100" s="116"/>
      <c r="U100" s="9"/>
    </row>
    <row r="101" spans="1:21">
      <c r="A101" s="45"/>
      <c r="B101" s="27"/>
      <c r="C101" s="86"/>
      <c r="E101" s="77"/>
      <c r="F101" s="91"/>
      <c r="G101" s="91"/>
      <c r="H101" s="91"/>
      <c r="I101" s="91"/>
      <c r="J101" s="91"/>
      <c r="K101" s="91"/>
      <c r="L101" s="91"/>
      <c r="M101" s="91"/>
      <c r="N101" s="91"/>
      <c r="O101" s="91"/>
      <c r="P101" s="91"/>
      <c r="Q101" s="91"/>
      <c r="R101" s="77"/>
      <c r="S101" s="77"/>
      <c r="T101" s="117"/>
      <c r="U101" s="9"/>
    </row>
    <row r="102" spans="1:21">
      <c r="A102" s="45"/>
      <c r="B102" s="29" t="str">
        <f>'[4]5) Year 1-5 Staff Assumptions'!B58</f>
        <v>Instructional Staff</v>
      </c>
      <c r="C102" s="86"/>
      <c r="D102" s="86"/>
      <c r="E102" s="86"/>
      <c r="F102" s="92"/>
      <c r="G102" s="92"/>
      <c r="H102" s="92"/>
      <c r="I102" s="92"/>
      <c r="J102" s="92"/>
      <c r="K102" s="92"/>
      <c r="L102" s="92"/>
      <c r="M102" s="92"/>
      <c r="N102" s="92"/>
      <c r="O102" s="92"/>
      <c r="P102" s="92"/>
      <c r="Q102" s="92"/>
      <c r="R102" s="86"/>
      <c r="S102" s="86"/>
      <c r="T102" s="118"/>
      <c r="U102" s="9"/>
    </row>
    <row r="103" spans="1:21">
      <c r="A103" s="45"/>
      <c r="B103" s="27" t="str">
        <f>'[4]3) Pre-Opening Budget'!B71</f>
        <v>Teachers</v>
      </c>
      <c r="C103" s="86"/>
      <c r="E103" s="82">
        <f>'3) Pre-Opening Budget'!E71</f>
        <v>0</v>
      </c>
      <c r="F103" s="65">
        <f>$E103/12</f>
        <v>0</v>
      </c>
      <c r="G103" s="65">
        <f t="shared" ref="G103:Q107" si="30">$E103/12</f>
        <v>0</v>
      </c>
      <c r="H103" s="65">
        <f t="shared" si="30"/>
        <v>0</v>
      </c>
      <c r="I103" s="65">
        <f t="shared" si="30"/>
        <v>0</v>
      </c>
      <c r="J103" s="65">
        <f t="shared" si="30"/>
        <v>0</v>
      </c>
      <c r="K103" s="65">
        <f t="shared" si="30"/>
        <v>0</v>
      </c>
      <c r="L103" s="65">
        <f t="shared" si="30"/>
        <v>0</v>
      </c>
      <c r="M103" s="65">
        <f t="shared" si="30"/>
        <v>0</v>
      </c>
      <c r="N103" s="65">
        <f t="shared" si="30"/>
        <v>0</v>
      </c>
      <c r="O103" s="65">
        <f t="shared" si="30"/>
        <v>0</v>
      </c>
      <c r="P103" s="65">
        <f t="shared" si="30"/>
        <v>0</v>
      </c>
      <c r="Q103" s="65">
        <f t="shared" si="30"/>
        <v>0</v>
      </c>
      <c r="R103" s="58">
        <f t="shared" ref="R103:R107" si="31">SUM(F103:Q103)</f>
        <v>0</v>
      </c>
      <c r="S103" s="58">
        <f t="shared" ref="S103:S107" si="32">E103-R103</f>
        <v>0</v>
      </c>
      <c r="T103" s="107"/>
      <c r="U103" s="9"/>
    </row>
    <row r="104" spans="1:21">
      <c r="A104" s="45"/>
      <c r="B104" s="27" t="str">
        <f>'[4]3) Pre-Opening Budget'!B72</f>
        <v>Special Education Teachers</v>
      </c>
      <c r="C104" s="86"/>
      <c r="E104" s="82">
        <f>'3) Pre-Opening Budget'!E72</f>
        <v>0</v>
      </c>
      <c r="F104" s="65">
        <f t="shared" ref="F104:F107" si="33">$E104/12</f>
        <v>0</v>
      </c>
      <c r="G104" s="65">
        <f t="shared" si="30"/>
        <v>0</v>
      </c>
      <c r="H104" s="65">
        <f t="shared" si="30"/>
        <v>0</v>
      </c>
      <c r="I104" s="65">
        <f t="shared" si="30"/>
        <v>0</v>
      </c>
      <c r="J104" s="65">
        <f t="shared" si="30"/>
        <v>0</v>
      </c>
      <c r="K104" s="65">
        <f t="shared" si="30"/>
        <v>0</v>
      </c>
      <c r="L104" s="65">
        <f t="shared" si="30"/>
        <v>0</v>
      </c>
      <c r="M104" s="65">
        <f t="shared" si="30"/>
        <v>0</v>
      </c>
      <c r="N104" s="65">
        <f t="shared" si="30"/>
        <v>0</v>
      </c>
      <c r="O104" s="65">
        <f t="shared" si="30"/>
        <v>0</v>
      </c>
      <c r="P104" s="65">
        <f t="shared" si="30"/>
        <v>0</v>
      </c>
      <c r="Q104" s="65">
        <f t="shared" si="30"/>
        <v>0</v>
      </c>
      <c r="R104" s="58">
        <f t="shared" si="31"/>
        <v>0</v>
      </c>
      <c r="S104" s="58">
        <f t="shared" si="32"/>
        <v>0</v>
      </c>
      <c r="T104" s="107"/>
      <c r="U104" s="9"/>
    </row>
    <row r="105" spans="1:21">
      <c r="A105" s="45"/>
      <c r="B105" s="27" t="str">
        <f>'[4]3) Pre-Opening Budget'!B73</f>
        <v>Eduacational Assistants/Aides</v>
      </c>
      <c r="C105" s="86"/>
      <c r="E105" s="82">
        <f>'3) Pre-Opening Budget'!E73</f>
        <v>0</v>
      </c>
      <c r="F105" s="65">
        <f t="shared" si="33"/>
        <v>0</v>
      </c>
      <c r="G105" s="65">
        <f t="shared" si="30"/>
        <v>0</v>
      </c>
      <c r="H105" s="65">
        <f t="shared" si="30"/>
        <v>0</v>
      </c>
      <c r="I105" s="65">
        <f t="shared" si="30"/>
        <v>0</v>
      </c>
      <c r="J105" s="65">
        <f t="shared" si="30"/>
        <v>0</v>
      </c>
      <c r="K105" s="65">
        <f t="shared" si="30"/>
        <v>0</v>
      </c>
      <c r="L105" s="65">
        <f t="shared" si="30"/>
        <v>0</v>
      </c>
      <c r="M105" s="65">
        <f t="shared" si="30"/>
        <v>0</v>
      </c>
      <c r="N105" s="65">
        <f t="shared" si="30"/>
        <v>0</v>
      </c>
      <c r="O105" s="65">
        <f t="shared" si="30"/>
        <v>0</v>
      </c>
      <c r="P105" s="65">
        <f t="shared" si="30"/>
        <v>0</v>
      </c>
      <c r="Q105" s="65">
        <f t="shared" si="30"/>
        <v>0</v>
      </c>
      <c r="R105" s="58">
        <f t="shared" si="31"/>
        <v>0</v>
      </c>
      <c r="S105" s="58">
        <f t="shared" si="32"/>
        <v>0</v>
      </c>
      <c r="T105" s="107"/>
      <c r="U105" s="9"/>
    </row>
    <row r="106" spans="1:21">
      <c r="A106" s="45"/>
      <c r="B106" s="27" t="str">
        <f>'[4]3) Pre-Opening Budget'!B74</f>
        <v>Elective Teachers</v>
      </c>
      <c r="C106" s="86"/>
      <c r="E106" s="82">
        <f>'3) Pre-Opening Budget'!E74</f>
        <v>0</v>
      </c>
      <c r="F106" s="65">
        <f t="shared" si="33"/>
        <v>0</v>
      </c>
      <c r="G106" s="65">
        <f t="shared" si="30"/>
        <v>0</v>
      </c>
      <c r="H106" s="65">
        <f t="shared" si="30"/>
        <v>0</v>
      </c>
      <c r="I106" s="65">
        <f t="shared" si="30"/>
        <v>0</v>
      </c>
      <c r="J106" s="65">
        <f t="shared" si="30"/>
        <v>0</v>
      </c>
      <c r="K106" s="65">
        <f t="shared" si="30"/>
        <v>0</v>
      </c>
      <c r="L106" s="65">
        <f t="shared" si="30"/>
        <v>0</v>
      </c>
      <c r="M106" s="65">
        <f t="shared" si="30"/>
        <v>0</v>
      </c>
      <c r="N106" s="65">
        <f t="shared" si="30"/>
        <v>0</v>
      </c>
      <c r="O106" s="65">
        <f t="shared" si="30"/>
        <v>0</v>
      </c>
      <c r="P106" s="65">
        <f t="shared" si="30"/>
        <v>0</v>
      </c>
      <c r="Q106" s="65">
        <f t="shared" si="30"/>
        <v>0</v>
      </c>
      <c r="R106" s="58">
        <f t="shared" si="31"/>
        <v>0</v>
      </c>
      <c r="S106" s="58">
        <f t="shared" si="32"/>
        <v>0</v>
      </c>
      <c r="T106" s="107"/>
      <c r="U106" s="9"/>
    </row>
    <row r="107" spans="1:21">
      <c r="A107" s="45"/>
      <c r="B107" s="27" t="str">
        <f>'[4]3) Pre-Opening Budget'!B75</f>
        <v>Other (Specify in Assumptions)</v>
      </c>
      <c r="C107" s="86"/>
      <c r="E107" s="82">
        <f>'3) Pre-Opening Budget'!E75</f>
        <v>0</v>
      </c>
      <c r="F107" s="65">
        <f t="shared" si="33"/>
        <v>0</v>
      </c>
      <c r="G107" s="65">
        <f t="shared" si="30"/>
        <v>0</v>
      </c>
      <c r="H107" s="65">
        <f t="shared" si="30"/>
        <v>0</v>
      </c>
      <c r="I107" s="65">
        <f t="shared" si="30"/>
        <v>0</v>
      </c>
      <c r="J107" s="65">
        <f t="shared" si="30"/>
        <v>0</v>
      </c>
      <c r="K107" s="65">
        <f t="shared" si="30"/>
        <v>0</v>
      </c>
      <c r="L107" s="65">
        <f t="shared" si="30"/>
        <v>0</v>
      </c>
      <c r="M107" s="65">
        <f t="shared" si="30"/>
        <v>0</v>
      </c>
      <c r="N107" s="65">
        <f t="shared" si="30"/>
        <v>0</v>
      </c>
      <c r="O107" s="65">
        <f t="shared" si="30"/>
        <v>0</v>
      </c>
      <c r="P107" s="65">
        <f t="shared" si="30"/>
        <v>0</v>
      </c>
      <c r="Q107" s="65">
        <f t="shared" si="30"/>
        <v>0</v>
      </c>
      <c r="R107" s="58">
        <f t="shared" si="31"/>
        <v>0</v>
      </c>
      <c r="S107" s="58">
        <f t="shared" si="32"/>
        <v>0</v>
      </c>
      <c r="T107" s="107"/>
      <c r="U107" s="9"/>
    </row>
    <row r="108" spans="1:21">
      <c r="A108" s="45"/>
      <c r="B108" s="27" t="str">
        <f>'[4]3) Pre-Opening Budget'!B76</f>
        <v>Total Instructional Compensation</v>
      </c>
      <c r="C108" s="59"/>
      <c r="D108" s="87"/>
      <c r="E108" s="82">
        <f>'3) Pre-Opening Budget'!E76</f>
        <v>0</v>
      </c>
      <c r="F108" s="90">
        <f>SUM(F103:F107)</f>
        <v>0</v>
      </c>
      <c r="G108" s="90">
        <f t="shared" ref="G108" si="34">SUM(G103:G107)</f>
        <v>0</v>
      </c>
      <c r="H108" s="90">
        <f t="shared" ref="H108" si="35">SUM(H103:H107)</f>
        <v>0</v>
      </c>
      <c r="I108" s="90">
        <f t="shared" ref="I108" si="36">SUM(I103:I107)</f>
        <v>0</v>
      </c>
      <c r="J108" s="90">
        <f t="shared" ref="J108" si="37">SUM(J103:J107)</f>
        <v>0</v>
      </c>
      <c r="K108" s="90">
        <f t="shared" ref="K108" si="38">SUM(K103:K107)</f>
        <v>0</v>
      </c>
      <c r="L108" s="90">
        <f t="shared" ref="L108" si="39">SUM(L103:L107)</f>
        <v>0</v>
      </c>
      <c r="M108" s="90">
        <f t="shared" ref="M108" si="40">SUM(M103:M107)</f>
        <v>0</v>
      </c>
      <c r="N108" s="90">
        <f t="shared" ref="N108" si="41">SUM(N103:N107)</f>
        <v>0</v>
      </c>
      <c r="O108" s="90">
        <f t="shared" ref="O108" si="42">SUM(O103:O107)</f>
        <v>0</v>
      </c>
      <c r="P108" s="90">
        <f t="shared" ref="P108" si="43">SUM(P103:P107)</f>
        <v>0</v>
      </c>
      <c r="Q108" s="90">
        <f t="shared" ref="Q108" si="44">SUM(Q103:Q107)</f>
        <v>0</v>
      </c>
      <c r="R108" s="90">
        <f t="shared" ref="R108" si="45">SUM(R103:R107)</f>
        <v>0</v>
      </c>
      <c r="S108" s="90">
        <f t="shared" ref="S108" si="46">SUM(S103:S107)</f>
        <v>0</v>
      </c>
      <c r="T108" s="116"/>
      <c r="U108" s="9"/>
    </row>
    <row r="109" spans="1:21">
      <c r="A109" s="45"/>
      <c r="B109" s="27"/>
      <c r="C109" s="86"/>
      <c r="E109" s="77"/>
      <c r="F109" s="91"/>
      <c r="G109" s="91"/>
      <c r="H109" s="91"/>
      <c r="I109" s="91"/>
      <c r="J109" s="91"/>
      <c r="K109" s="91"/>
      <c r="L109" s="91"/>
      <c r="M109" s="91"/>
      <c r="N109" s="91"/>
      <c r="O109" s="91"/>
      <c r="P109" s="91"/>
      <c r="Q109" s="91"/>
      <c r="R109" s="77"/>
      <c r="S109" s="77"/>
      <c r="T109" s="117"/>
      <c r="U109" s="9"/>
    </row>
    <row r="110" spans="1:21">
      <c r="A110" s="45"/>
      <c r="B110" s="29" t="str">
        <f>'[4]3) Pre-Opening Budget'!B78</f>
        <v>Non-Instructional Staff</v>
      </c>
      <c r="C110" s="86"/>
      <c r="D110" s="86"/>
      <c r="E110" s="86"/>
      <c r="F110" s="92"/>
      <c r="G110" s="92"/>
      <c r="H110" s="92"/>
      <c r="I110" s="92"/>
      <c r="J110" s="92"/>
      <c r="K110" s="92"/>
      <c r="L110" s="92"/>
      <c r="M110" s="92"/>
      <c r="N110" s="92"/>
      <c r="O110" s="92"/>
      <c r="P110" s="92"/>
      <c r="Q110" s="92"/>
      <c r="R110" s="86"/>
      <c r="S110" s="86"/>
      <c r="T110" s="118"/>
      <c r="U110" s="9"/>
    </row>
    <row r="111" spans="1:21">
      <c r="A111" s="45"/>
      <c r="B111" s="27" t="str">
        <f>'[4]3) Pre-Opening Budget'!B79</f>
        <v>Clerical Staff</v>
      </c>
      <c r="C111" s="86"/>
      <c r="D111" s="45"/>
      <c r="E111" s="82">
        <f>'3) Pre-Opening Budget'!E79</f>
        <v>26000</v>
      </c>
      <c r="F111" s="65">
        <v>0</v>
      </c>
      <c r="G111" s="65">
        <v>0</v>
      </c>
      <c r="H111" s="65">
        <v>0</v>
      </c>
      <c r="I111" s="65">
        <v>0</v>
      </c>
      <c r="J111" s="65">
        <v>0</v>
      </c>
      <c r="K111" s="65">
        <v>0</v>
      </c>
      <c r="L111" s="65">
        <f>$E111/6</f>
        <v>4333.333333333333</v>
      </c>
      <c r="M111" s="65">
        <f t="shared" ref="M111:Q115" si="47">$E111/6</f>
        <v>4333.333333333333</v>
      </c>
      <c r="N111" s="65">
        <f t="shared" si="47"/>
        <v>4333.333333333333</v>
      </c>
      <c r="O111" s="65">
        <f t="shared" si="47"/>
        <v>4333.333333333333</v>
      </c>
      <c r="P111" s="65">
        <f t="shared" si="47"/>
        <v>4333.333333333333</v>
      </c>
      <c r="Q111" s="65">
        <f t="shared" si="47"/>
        <v>4333.333333333333</v>
      </c>
      <c r="R111" s="58">
        <f t="shared" ref="R111:R115" si="48">SUM(F111:Q111)</f>
        <v>25999.999999999996</v>
      </c>
      <c r="S111" s="58">
        <f t="shared" ref="S111:S115" si="49">E111-R111</f>
        <v>0</v>
      </c>
      <c r="T111" s="107"/>
      <c r="U111" s="9"/>
    </row>
    <row r="112" spans="1:21">
      <c r="A112" s="45"/>
      <c r="B112" s="27" t="str">
        <f>'[4]3) Pre-Opening Budget'!B80</f>
        <v>Custodial Staff</v>
      </c>
      <c r="C112" s="86"/>
      <c r="D112" s="45"/>
      <c r="E112" s="82">
        <f>'3) Pre-Opening Budget'!E80</f>
        <v>0</v>
      </c>
      <c r="F112" s="65">
        <f t="shared" ref="F112:L115" si="50">$E112/6</f>
        <v>0</v>
      </c>
      <c r="G112" s="65">
        <f t="shared" si="50"/>
        <v>0</v>
      </c>
      <c r="H112" s="65">
        <f t="shared" si="50"/>
        <v>0</v>
      </c>
      <c r="I112" s="65">
        <f t="shared" si="50"/>
        <v>0</v>
      </c>
      <c r="J112" s="65">
        <f t="shared" si="50"/>
        <v>0</v>
      </c>
      <c r="K112" s="65">
        <f t="shared" si="50"/>
        <v>0</v>
      </c>
      <c r="L112" s="65">
        <f t="shared" si="50"/>
        <v>0</v>
      </c>
      <c r="M112" s="65">
        <f t="shared" si="47"/>
        <v>0</v>
      </c>
      <c r="N112" s="65">
        <f t="shared" si="47"/>
        <v>0</v>
      </c>
      <c r="O112" s="65">
        <f t="shared" si="47"/>
        <v>0</v>
      </c>
      <c r="P112" s="65">
        <f t="shared" si="47"/>
        <v>0</v>
      </c>
      <c r="Q112" s="65">
        <f t="shared" si="47"/>
        <v>0</v>
      </c>
      <c r="R112" s="58">
        <f t="shared" si="48"/>
        <v>0</v>
      </c>
      <c r="S112" s="58">
        <f t="shared" si="49"/>
        <v>0</v>
      </c>
      <c r="T112" s="107"/>
      <c r="U112" s="9"/>
    </row>
    <row r="113" spans="1:21">
      <c r="A113" s="45"/>
      <c r="B113" s="27" t="str">
        <f>'[4]3) Pre-Opening Budget'!B81</f>
        <v>Operations</v>
      </c>
      <c r="C113" s="86"/>
      <c r="D113" s="45"/>
      <c r="E113" s="82">
        <f>'3) Pre-Opening Budget'!E81</f>
        <v>48702</v>
      </c>
      <c r="F113" s="65">
        <v>0</v>
      </c>
      <c r="G113" s="65">
        <v>0</v>
      </c>
      <c r="H113" s="65">
        <v>0</v>
      </c>
      <c r="I113" s="65">
        <v>0</v>
      </c>
      <c r="J113" s="65">
        <v>0</v>
      </c>
      <c r="K113" s="65">
        <v>0</v>
      </c>
      <c r="L113" s="65">
        <f t="shared" si="50"/>
        <v>8117</v>
      </c>
      <c r="M113" s="65">
        <f t="shared" si="47"/>
        <v>8117</v>
      </c>
      <c r="N113" s="65">
        <f t="shared" si="47"/>
        <v>8117</v>
      </c>
      <c r="O113" s="65">
        <f t="shared" si="47"/>
        <v>8117</v>
      </c>
      <c r="P113" s="65">
        <f t="shared" si="47"/>
        <v>8117</v>
      </c>
      <c r="Q113" s="65">
        <f t="shared" si="47"/>
        <v>8117</v>
      </c>
      <c r="R113" s="58">
        <f t="shared" si="48"/>
        <v>48702</v>
      </c>
      <c r="S113" s="58">
        <f t="shared" si="49"/>
        <v>0</v>
      </c>
      <c r="T113" s="107"/>
      <c r="U113" s="9"/>
    </row>
    <row r="114" spans="1:21">
      <c r="A114" s="45"/>
      <c r="B114" s="27" t="str">
        <f>'[4]3) Pre-Opening Budget'!B82</f>
        <v>Social Workers/Counseling</v>
      </c>
      <c r="C114" s="86"/>
      <c r="D114" s="45"/>
      <c r="E114" s="82">
        <f>'3) Pre-Opening Budget'!E82</f>
        <v>0</v>
      </c>
      <c r="F114" s="65">
        <f t="shared" si="50"/>
        <v>0</v>
      </c>
      <c r="G114" s="65">
        <f t="shared" si="50"/>
        <v>0</v>
      </c>
      <c r="H114" s="65">
        <f t="shared" si="50"/>
        <v>0</v>
      </c>
      <c r="I114" s="65">
        <f t="shared" si="50"/>
        <v>0</v>
      </c>
      <c r="J114" s="65">
        <f t="shared" si="50"/>
        <v>0</v>
      </c>
      <c r="K114" s="65">
        <f t="shared" si="50"/>
        <v>0</v>
      </c>
      <c r="L114" s="65">
        <f t="shared" si="50"/>
        <v>0</v>
      </c>
      <c r="M114" s="65">
        <f t="shared" si="47"/>
        <v>0</v>
      </c>
      <c r="N114" s="65">
        <f t="shared" si="47"/>
        <v>0</v>
      </c>
      <c r="O114" s="65">
        <f t="shared" si="47"/>
        <v>0</v>
      </c>
      <c r="P114" s="65">
        <f t="shared" si="47"/>
        <v>0</v>
      </c>
      <c r="Q114" s="65">
        <f t="shared" si="47"/>
        <v>0</v>
      </c>
      <c r="R114" s="58">
        <f t="shared" si="48"/>
        <v>0</v>
      </c>
      <c r="S114" s="58">
        <f t="shared" si="49"/>
        <v>0</v>
      </c>
      <c r="T114" s="107"/>
      <c r="U114" s="9"/>
    </row>
    <row r="115" spans="1:21">
      <c r="A115" s="45"/>
      <c r="B115" s="27" t="str">
        <f>'[4]3) Pre-Opening Budget'!B83</f>
        <v>Other (Specify in Assumptions)</v>
      </c>
      <c r="C115" s="86"/>
      <c r="D115" s="45"/>
      <c r="E115" s="82">
        <f>'3) Pre-Opening Budget'!E83</f>
        <v>0</v>
      </c>
      <c r="F115" s="65">
        <f t="shared" si="50"/>
        <v>0</v>
      </c>
      <c r="G115" s="65">
        <f t="shared" si="50"/>
        <v>0</v>
      </c>
      <c r="H115" s="65">
        <f t="shared" si="50"/>
        <v>0</v>
      </c>
      <c r="I115" s="65">
        <f t="shared" si="50"/>
        <v>0</v>
      </c>
      <c r="J115" s="65">
        <f t="shared" si="50"/>
        <v>0</v>
      </c>
      <c r="K115" s="65">
        <f t="shared" si="50"/>
        <v>0</v>
      </c>
      <c r="L115" s="65">
        <f t="shared" si="50"/>
        <v>0</v>
      </c>
      <c r="M115" s="65">
        <f t="shared" si="47"/>
        <v>0</v>
      </c>
      <c r="N115" s="65">
        <f t="shared" si="47"/>
        <v>0</v>
      </c>
      <c r="O115" s="65">
        <f t="shared" si="47"/>
        <v>0</v>
      </c>
      <c r="P115" s="65">
        <f t="shared" si="47"/>
        <v>0</v>
      </c>
      <c r="Q115" s="65">
        <f t="shared" si="47"/>
        <v>0</v>
      </c>
      <c r="R115" s="58">
        <f t="shared" si="48"/>
        <v>0</v>
      </c>
      <c r="S115" s="58">
        <f t="shared" si="49"/>
        <v>0</v>
      </c>
      <c r="T115" s="107"/>
      <c r="U115" s="9"/>
    </row>
    <row r="116" spans="1:21">
      <c r="A116" s="45"/>
      <c r="B116" s="29" t="str">
        <f>'[4]5) Year 1-5 Staff Assumptions'!B72</f>
        <v>Total Non-Instructional  Compensation</v>
      </c>
      <c r="C116" s="59"/>
      <c r="D116" s="42"/>
      <c r="E116" s="82">
        <f>'3) Pre-Opening Budget'!E84</f>
        <v>74702</v>
      </c>
      <c r="F116" s="90">
        <f>SUM(F111:F115)</f>
        <v>0</v>
      </c>
      <c r="G116" s="90">
        <f t="shared" ref="G116" si="51">SUM(G111:G115)</f>
        <v>0</v>
      </c>
      <c r="H116" s="90">
        <f t="shared" ref="H116" si="52">SUM(H111:H115)</f>
        <v>0</v>
      </c>
      <c r="I116" s="90">
        <f t="shared" ref="I116" si="53">SUM(I111:I115)</f>
        <v>0</v>
      </c>
      <c r="J116" s="90">
        <f t="shared" ref="J116" si="54">SUM(J111:J115)</f>
        <v>0</v>
      </c>
      <c r="K116" s="90">
        <f t="shared" ref="K116" si="55">SUM(K111:K115)</f>
        <v>0</v>
      </c>
      <c r="L116" s="90">
        <f t="shared" ref="L116" si="56">SUM(L111:L115)</f>
        <v>12450.333333333332</v>
      </c>
      <c r="M116" s="90">
        <f t="shared" ref="M116" si="57">SUM(M111:M115)</f>
        <v>12450.333333333332</v>
      </c>
      <c r="N116" s="90">
        <f t="shared" ref="N116" si="58">SUM(N111:N115)</f>
        <v>12450.333333333332</v>
      </c>
      <c r="O116" s="90">
        <f t="shared" ref="O116" si="59">SUM(O111:O115)</f>
        <v>12450.333333333332</v>
      </c>
      <c r="P116" s="90">
        <f t="shared" ref="P116" si="60">SUM(P111:P115)</f>
        <v>12450.333333333332</v>
      </c>
      <c r="Q116" s="90">
        <f t="shared" ref="Q116" si="61">SUM(Q111:Q115)</f>
        <v>12450.333333333332</v>
      </c>
      <c r="R116" s="90">
        <f t="shared" ref="R116" si="62">SUM(R111:R115)</f>
        <v>74702</v>
      </c>
      <c r="S116" s="90">
        <f t="shared" ref="S116" si="63">SUM(S111:S115)</f>
        <v>0</v>
      </c>
      <c r="T116" s="116"/>
      <c r="U116" s="9"/>
    </row>
    <row r="117" spans="1:21">
      <c r="A117" s="45"/>
      <c r="B117" s="27"/>
      <c r="C117" s="45"/>
      <c r="D117" s="45"/>
      <c r="E117" s="77"/>
      <c r="F117" s="91"/>
      <c r="G117" s="91"/>
      <c r="H117" s="91"/>
      <c r="I117" s="91"/>
      <c r="J117" s="91"/>
      <c r="K117" s="91"/>
      <c r="L117" s="91"/>
      <c r="M117" s="91"/>
      <c r="N117" s="91"/>
      <c r="O117" s="91"/>
      <c r="P117" s="91"/>
      <c r="Q117" s="91"/>
      <c r="R117" s="77"/>
      <c r="S117" s="77"/>
      <c r="T117" s="117"/>
      <c r="U117" s="9"/>
    </row>
    <row r="118" spans="1:21">
      <c r="A118" s="45"/>
      <c r="B118" s="27" t="str">
        <f>'3) Pre-Opening Budget'!B86</f>
        <v>Bonus</v>
      </c>
      <c r="C118" s="45"/>
      <c r="D118" s="45"/>
      <c r="E118" s="82">
        <f>'3) Pre-Opening Budget'!E86</f>
        <v>5063</v>
      </c>
      <c r="F118" s="65">
        <f>$E118/12</f>
        <v>421.91666666666669</v>
      </c>
      <c r="G118" s="65">
        <f t="shared" ref="G118:Q121" si="64">$E118/12</f>
        <v>421.91666666666669</v>
      </c>
      <c r="H118" s="65">
        <f t="shared" si="64"/>
        <v>421.91666666666669</v>
      </c>
      <c r="I118" s="65">
        <f t="shared" si="64"/>
        <v>421.91666666666669</v>
      </c>
      <c r="J118" s="65">
        <f t="shared" si="64"/>
        <v>421.91666666666669</v>
      </c>
      <c r="K118" s="65">
        <f t="shared" si="64"/>
        <v>421.91666666666669</v>
      </c>
      <c r="L118" s="65">
        <f t="shared" si="64"/>
        <v>421.91666666666669</v>
      </c>
      <c r="M118" s="65">
        <f t="shared" si="64"/>
        <v>421.91666666666669</v>
      </c>
      <c r="N118" s="65">
        <f t="shared" si="64"/>
        <v>421.91666666666669</v>
      </c>
      <c r="O118" s="65">
        <f t="shared" si="64"/>
        <v>421.91666666666669</v>
      </c>
      <c r="P118" s="65">
        <f t="shared" si="64"/>
        <v>421.91666666666669</v>
      </c>
      <c r="Q118" s="65">
        <f t="shared" si="64"/>
        <v>421.91666666666669</v>
      </c>
      <c r="R118" s="58">
        <f t="shared" ref="R118" si="65">SUM(F118:Q118)</f>
        <v>5063</v>
      </c>
      <c r="S118" s="58">
        <f t="shared" ref="S118" si="66">E118-R118</f>
        <v>0</v>
      </c>
      <c r="T118" s="107"/>
      <c r="U118" s="9"/>
    </row>
    <row r="119" spans="1:21">
      <c r="A119" s="45"/>
      <c r="B119" s="27" t="str">
        <f>'3) Pre-Opening Budget'!B87</f>
        <v>Other Non FTE Compensation</v>
      </c>
      <c r="C119" s="45"/>
      <c r="D119" s="45"/>
      <c r="E119" s="82">
        <f>'3) Pre-Opening Budget'!E87</f>
        <v>0</v>
      </c>
      <c r="F119" s="65">
        <f t="shared" ref="F119:F121" si="67">$E119/12</f>
        <v>0</v>
      </c>
      <c r="G119" s="65">
        <f t="shared" si="64"/>
        <v>0</v>
      </c>
      <c r="H119" s="65">
        <f t="shared" si="64"/>
        <v>0</v>
      </c>
      <c r="I119" s="65">
        <f t="shared" si="64"/>
        <v>0</v>
      </c>
      <c r="J119" s="65">
        <f t="shared" si="64"/>
        <v>0</v>
      </c>
      <c r="K119" s="65">
        <f t="shared" si="64"/>
        <v>0</v>
      </c>
      <c r="L119" s="65">
        <f t="shared" si="64"/>
        <v>0</v>
      </c>
      <c r="M119" s="65">
        <f t="shared" si="64"/>
        <v>0</v>
      </c>
      <c r="N119" s="65">
        <f t="shared" si="64"/>
        <v>0</v>
      </c>
      <c r="O119" s="65">
        <f t="shared" si="64"/>
        <v>0</v>
      </c>
      <c r="P119" s="65">
        <f t="shared" si="64"/>
        <v>0</v>
      </c>
      <c r="Q119" s="65">
        <f t="shared" si="64"/>
        <v>0</v>
      </c>
      <c r="R119" s="58">
        <f>SUM(F119:Q119)</f>
        <v>0</v>
      </c>
      <c r="S119" s="58">
        <f>E119-R119</f>
        <v>0</v>
      </c>
      <c r="T119" s="107"/>
      <c r="U119" s="9"/>
    </row>
    <row r="120" spans="1:21">
      <c r="A120" s="45"/>
      <c r="B120" s="27" t="str">
        <f>'3) Pre-Opening Budget'!B88</f>
        <v>Other Non FTE Compensation</v>
      </c>
      <c r="C120" s="45"/>
      <c r="D120" s="45"/>
      <c r="E120" s="82">
        <f>'3) Pre-Opening Budget'!E88</f>
        <v>0</v>
      </c>
      <c r="F120" s="65">
        <f t="shared" si="67"/>
        <v>0</v>
      </c>
      <c r="G120" s="65">
        <f t="shared" si="64"/>
        <v>0</v>
      </c>
      <c r="H120" s="65">
        <f t="shared" si="64"/>
        <v>0</v>
      </c>
      <c r="I120" s="65">
        <f t="shared" si="64"/>
        <v>0</v>
      </c>
      <c r="J120" s="65">
        <f t="shared" si="64"/>
        <v>0</v>
      </c>
      <c r="K120" s="65">
        <f t="shared" si="64"/>
        <v>0</v>
      </c>
      <c r="L120" s="65">
        <f t="shared" si="64"/>
        <v>0</v>
      </c>
      <c r="M120" s="65">
        <f t="shared" si="64"/>
        <v>0</v>
      </c>
      <c r="N120" s="65">
        <f t="shared" si="64"/>
        <v>0</v>
      </c>
      <c r="O120" s="65">
        <f t="shared" si="64"/>
        <v>0</v>
      </c>
      <c r="P120" s="65">
        <f t="shared" si="64"/>
        <v>0</v>
      </c>
      <c r="Q120" s="65">
        <f t="shared" si="64"/>
        <v>0</v>
      </c>
      <c r="R120" s="58">
        <f>SUM(F120:Q120)</f>
        <v>0</v>
      </c>
      <c r="S120" s="58">
        <f>E120-R120</f>
        <v>0</v>
      </c>
      <c r="T120" s="107"/>
      <c r="U120" s="9"/>
    </row>
    <row r="121" spans="1:21">
      <c r="A121" s="45"/>
      <c r="B121" s="27" t="str">
        <f>'3) Pre-Opening Budget'!B89</f>
        <v>Other Non FTE Compensation</v>
      </c>
      <c r="C121" s="45"/>
      <c r="D121" s="45"/>
      <c r="E121" s="82">
        <f>'3) Pre-Opening Budget'!E89</f>
        <v>0</v>
      </c>
      <c r="F121" s="65">
        <f t="shared" si="67"/>
        <v>0</v>
      </c>
      <c r="G121" s="65">
        <f t="shared" si="64"/>
        <v>0</v>
      </c>
      <c r="H121" s="65">
        <f t="shared" si="64"/>
        <v>0</v>
      </c>
      <c r="I121" s="65">
        <f t="shared" si="64"/>
        <v>0</v>
      </c>
      <c r="J121" s="65">
        <f t="shared" si="64"/>
        <v>0</v>
      </c>
      <c r="K121" s="65">
        <f t="shared" si="64"/>
        <v>0</v>
      </c>
      <c r="L121" s="65">
        <f t="shared" si="64"/>
        <v>0</v>
      </c>
      <c r="M121" s="65">
        <f t="shared" si="64"/>
        <v>0</v>
      </c>
      <c r="N121" s="65">
        <f t="shared" si="64"/>
        <v>0</v>
      </c>
      <c r="O121" s="65">
        <f t="shared" si="64"/>
        <v>0</v>
      </c>
      <c r="P121" s="65">
        <f t="shared" si="64"/>
        <v>0</v>
      </c>
      <c r="Q121" s="65">
        <f t="shared" si="64"/>
        <v>0</v>
      </c>
      <c r="R121" s="58">
        <f>SUM(F121:Q121)</f>
        <v>0</v>
      </c>
      <c r="S121" s="58">
        <f>E121-R121</f>
        <v>0</v>
      </c>
      <c r="T121" s="107"/>
      <c r="U121" s="9"/>
    </row>
    <row r="122" spans="1:21">
      <c r="A122" s="45"/>
      <c r="B122" s="27"/>
      <c r="C122" s="45"/>
      <c r="D122" s="45"/>
      <c r="E122" s="77"/>
      <c r="F122" s="77"/>
      <c r="G122" s="77"/>
      <c r="H122" s="77"/>
      <c r="I122" s="77"/>
      <c r="J122" s="77"/>
      <c r="K122" s="77"/>
      <c r="L122" s="77"/>
      <c r="M122" s="77"/>
      <c r="N122" s="77"/>
      <c r="O122" s="77"/>
      <c r="P122" s="77"/>
      <c r="Q122" s="77"/>
      <c r="R122" s="77"/>
      <c r="S122" s="77"/>
      <c r="T122" s="117"/>
      <c r="U122" s="9"/>
    </row>
    <row r="123" spans="1:21" ht="15.75" thickBot="1">
      <c r="A123" s="45"/>
      <c r="B123" s="29" t="str">
        <f>'[4]5) Year 1-5 Staff Assumptions'!B79</f>
        <v>Total Compensation</v>
      </c>
      <c r="C123" s="42"/>
      <c r="D123" s="42"/>
      <c r="E123" s="54">
        <f>'3) Pre-Opening Budget'!E92</f>
        <v>236525</v>
      </c>
      <c r="F123" s="54">
        <f>F100+F108+F116+SUM(F118:F121)</f>
        <v>13485.249999999998</v>
      </c>
      <c r="G123" s="54">
        <f t="shared" ref="G123:S123" si="68">G100+G108+G116+SUM(G118:G121)</f>
        <v>13485.249999999998</v>
      </c>
      <c r="H123" s="54">
        <f t="shared" si="68"/>
        <v>13485.249999999998</v>
      </c>
      <c r="I123" s="54">
        <f t="shared" si="68"/>
        <v>13485.249999999998</v>
      </c>
      <c r="J123" s="54">
        <f t="shared" si="68"/>
        <v>13485.249999999998</v>
      </c>
      <c r="K123" s="54">
        <f t="shared" si="68"/>
        <v>13485.249999999998</v>
      </c>
      <c r="L123" s="54">
        <f t="shared" si="68"/>
        <v>25935.583333333332</v>
      </c>
      <c r="M123" s="54">
        <f t="shared" si="68"/>
        <v>25935.583333333332</v>
      </c>
      <c r="N123" s="54">
        <f t="shared" si="68"/>
        <v>25935.583333333332</v>
      </c>
      <c r="O123" s="54">
        <f t="shared" si="68"/>
        <v>25935.583333333332</v>
      </c>
      <c r="P123" s="54">
        <f t="shared" si="68"/>
        <v>25935.583333333332</v>
      </c>
      <c r="Q123" s="54">
        <f t="shared" si="68"/>
        <v>25935.583333333332</v>
      </c>
      <c r="R123" s="54">
        <f t="shared" si="68"/>
        <v>236525</v>
      </c>
      <c r="S123" s="54">
        <f t="shared" si="68"/>
        <v>0</v>
      </c>
      <c r="T123" s="55"/>
      <c r="U123" s="9"/>
    </row>
    <row r="124" spans="1:21" ht="15.75" thickTop="1">
      <c r="A124" s="45"/>
      <c r="B124" s="34"/>
      <c r="C124" s="45"/>
      <c r="D124" s="45"/>
      <c r="E124" s="85"/>
      <c r="F124" s="85"/>
      <c r="G124" s="85"/>
      <c r="H124" s="85"/>
      <c r="I124" s="85"/>
      <c r="J124" s="85"/>
      <c r="K124" s="85"/>
      <c r="L124" s="85"/>
      <c r="M124" s="85"/>
      <c r="N124" s="85"/>
      <c r="O124" s="85"/>
      <c r="P124" s="85"/>
      <c r="Q124" s="85"/>
      <c r="R124" s="85"/>
      <c r="S124" s="85"/>
      <c r="T124" s="85"/>
      <c r="U124" s="9"/>
    </row>
    <row r="125" spans="1:21">
      <c r="A125" s="45"/>
      <c r="B125" s="34"/>
      <c r="C125" s="45"/>
      <c r="D125" s="45"/>
      <c r="E125" s="85"/>
      <c r="F125" s="85"/>
      <c r="G125" s="85"/>
      <c r="H125" s="85"/>
      <c r="I125" s="85"/>
      <c r="J125" s="85"/>
      <c r="K125" s="85"/>
      <c r="L125" s="85"/>
      <c r="M125" s="85"/>
      <c r="N125" s="85"/>
      <c r="O125" s="85"/>
      <c r="P125" s="85"/>
      <c r="Q125" s="85"/>
      <c r="R125" s="85"/>
      <c r="S125" s="85"/>
      <c r="T125" s="85"/>
      <c r="U125" s="9"/>
    </row>
    <row r="126" spans="1:21" ht="14.85" customHeight="1">
      <c r="A126" s="45"/>
      <c r="B126" s="8"/>
      <c r="E126" s="783" t="s">
        <v>204</v>
      </c>
      <c r="F126" s="783"/>
      <c r="G126" s="783"/>
      <c r="H126" s="783"/>
      <c r="I126" s="783"/>
      <c r="J126" s="783"/>
      <c r="K126" s="783"/>
      <c r="L126" s="783"/>
      <c r="M126" s="783"/>
      <c r="N126" s="783"/>
      <c r="O126" s="783"/>
      <c r="P126" s="783"/>
      <c r="Q126" s="783"/>
      <c r="R126" s="783"/>
      <c r="S126" s="783"/>
      <c r="T126" s="85"/>
      <c r="U126" s="9"/>
    </row>
    <row r="127" spans="1:21" ht="14.85" customHeight="1">
      <c r="A127" s="45"/>
      <c r="B127" s="8"/>
      <c r="T127" s="85"/>
      <c r="U127" s="9"/>
    </row>
    <row r="128" spans="1:21">
      <c r="A128" s="45"/>
      <c r="B128" s="8"/>
      <c r="E128" s="83" t="str">
        <f>E90</f>
        <v>Year 0</v>
      </c>
      <c r="F128" s="83" t="str">
        <f t="shared" ref="F128:S128" si="69">F90</f>
        <v>Year 0</v>
      </c>
      <c r="G128" s="83" t="str">
        <f t="shared" si="69"/>
        <v>Year 0</v>
      </c>
      <c r="H128" s="83" t="str">
        <f t="shared" si="69"/>
        <v>Year 0</v>
      </c>
      <c r="I128" s="83" t="str">
        <f t="shared" si="69"/>
        <v>Year 0</v>
      </c>
      <c r="J128" s="83" t="str">
        <f t="shared" si="69"/>
        <v>Year 0</v>
      </c>
      <c r="K128" s="83" t="str">
        <f t="shared" si="69"/>
        <v>Year 0</v>
      </c>
      <c r="L128" s="83" t="str">
        <f t="shared" si="69"/>
        <v>Year 0</v>
      </c>
      <c r="M128" s="83" t="str">
        <f t="shared" si="69"/>
        <v>Year 0</v>
      </c>
      <c r="N128" s="83" t="str">
        <f t="shared" si="69"/>
        <v>Year 0</v>
      </c>
      <c r="O128" s="83" t="str">
        <f t="shared" si="69"/>
        <v>Year 0</v>
      </c>
      <c r="P128" s="83" t="str">
        <f t="shared" si="69"/>
        <v>Year 0</v>
      </c>
      <c r="Q128" s="83" t="str">
        <f t="shared" si="69"/>
        <v>Year 0</v>
      </c>
      <c r="R128" s="83" t="str">
        <f t="shared" si="69"/>
        <v>Year 0</v>
      </c>
      <c r="S128" s="83" t="str">
        <f t="shared" si="69"/>
        <v>Year 0</v>
      </c>
      <c r="T128" s="73"/>
      <c r="U128" s="9"/>
    </row>
    <row r="129" spans="1:21">
      <c r="A129" s="45"/>
      <c r="B129" s="34"/>
      <c r="C129" s="42"/>
      <c r="D129" s="2"/>
      <c r="E129" s="88" t="str">
        <f t="shared" ref="E129:S130" si="70">E91</f>
        <v>2023-24</v>
      </c>
      <c r="F129" s="88" t="str">
        <f t="shared" si="70"/>
        <v>2023-24</v>
      </c>
      <c r="G129" s="88" t="str">
        <f t="shared" si="70"/>
        <v>2023-24</v>
      </c>
      <c r="H129" s="88" t="str">
        <f t="shared" si="70"/>
        <v>2023-24</v>
      </c>
      <c r="I129" s="88" t="str">
        <f t="shared" si="70"/>
        <v>2023-24</v>
      </c>
      <c r="J129" s="88" t="str">
        <f t="shared" si="70"/>
        <v>2023-24</v>
      </c>
      <c r="K129" s="88" t="str">
        <f t="shared" si="70"/>
        <v>2023-24</v>
      </c>
      <c r="L129" s="88" t="str">
        <f t="shared" si="70"/>
        <v>2023-24</v>
      </c>
      <c r="M129" s="88" t="str">
        <f t="shared" si="70"/>
        <v>2023-24</v>
      </c>
      <c r="N129" s="88" t="str">
        <f t="shared" si="70"/>
        <v>2023-24</v>
      </c>
      <c r="O129" s="88" t="str">
        <f t="shared" si="70"/>
        <v>2023-24</v>
      </c>
      <c r="P129" s="88" t="str">
        <f t="shared" si="70"/>
        <v>2023-24</v>
      </c>
      <c r="Q129" s="88" t="str">
        <f t="shared" si="70"/>
        <v>2023-24</v>
      </c>
      <c r="R129" s="88" t="str">
        <f t="shared" si="70"/>
        <v>2023-24</v>
      </c>
      <c r="S129" s="88" t="str">
        <f t="shared" si="70"/>
        <v>2023-24</v>
      </c>
      <c r="T129" s="85"/>
      <c r="U129" s="9"/>
    </row>
    <row r="130" spans="1:21">
      <c r="A130" s="45"/>
      <c r="B130" s="34"/>
      <c r="C130" s="42"/>
      <c r="D130" s="2"/>
      <c r="E130" s="88" t="str">
        <f t="shared" si="70"/>
        <v>Total Budget</v>
      </c>
      <c r="F130" s="88" t="str">
        <f t="shared" si="70"/>
        <v>July</v>
      </c>
      <c r="G130" s="88" t="str">
        <f t="shared" si="70"/>
        <v>August</v>
      </c>
      <c r="H130" s="88" t="str">
        <f t="shared" si="70"/>
        <v>September</v>
      </c>
      <c r="I130" s="88" t="str">
        <f t="shared" si="70"/>
        <v>October</v>
      </c>
      <c r="J130" s="88" t="str">
        <f t="shared" si="70"/>
        <v>November</v>
      </c>
      <c r="K130" s="88" t="str">
        <f t="shared" si="70"/>
        <v>December</v>
      </c>
      <c r="L130" s="88" t="str">
        <f t="shared" si="70"/>
        <v>January</v>
      </c>
      <c r="M130" s="88" t="str">
        <f t="shared" si="70"/>
        <v>February</v>
      </c>
      <c r="N130" s="88" t="str">
        <f t="shared" si="70"/>
        <v>March</v>
      </c>
      <c r="O130" s="88" t="str">
        <f t="shared" si="70"/>
        <v>April</v>
      </c>
      <c r="P130" s="88" t="str">
        <f t="shared" si="70"/>
        <v>May</v>
      </c>
      <c r="Q130" s="88" t="str">
        <f t="shared" si="70"/>
        <v>June</v>
      </c>
      <c r="R130" s="88" t="str">
        <f t="shared" si="70"/>
        <v>Total</v>
      </c>
      <c r="S130" s="88" t="str">
        <f t="shared" si="70"/>
        <v>AR/AP</v>
      </c>
      <c r="T130" s="85"/>
      <c r="U130" s="9"/>
    </row>
    <row r="131" spans="1:21">
      <c r="A131" s="45"/>
      <c r="B131" s="34"/>
      <c r="C131" s="42"/>
      <c r="D131" s="2"/>
      <c r="E131" s="85"/>
      <c r="F131" s="85"/>
      <c r="G131" s="85"/>
      <c r="H131" s="85"/>
      <c r="I131" s="85"/>
      <c r="J131" s="85"/>
      <c r="K131" s="85"/>
      <c r="L131" s="85"/>
      <c r="M131" s="85"/>
      <c r="N131" s="85"/>
      <c r="O131" s="85"/>
      <c r="P131" s="85"/>
      <c r="Q131" s="85"/>
      <c r="R131" s="85"/>
      <c r="S131" s="85"/>
      <c r="T131" s="47" t="s">
        <v>91</v>
      </c>
      <c r="U131" s="9"/>
    </row>
    <row r="132" spans="1:21">
      <c r="A132" s="45"/>
      <c r="B132" s="34" t="str">
        <f>'3) Pre-Opening Budget'!B101</f>
        <v xml:space="preserve">Social Security </v>
      </c>
      <c r="C132" s="45"/>
      <c r="D132" s="45"/>
      <c r="E132" s="629">
        <f>'3) Pre-Opening Budget'!E101</f>
        <v>14664.55</v>
      </c>
      <c r="F132" s="65">
        <f>$E132/12</f>
        <v>1222.0458333333333</v>
      </c>
      <c r="G132" s="65">
        <f t="shared" ref="G132:Q141" si="71">$E132/12</f>
        <v>1222.0458333333333</v>
      </c>
      <c r="H132" s="65">
        <f t="shared" si="71"/>
        <v>1222.0458333333333</v>
      </c>
      <c r="I132" s="65">
        <f t="shared" si="71"/>
        <v>1222.0458333333333</v>
      </c>
      <c r="J132" s="65">
        <f t="shared" si="71"/>
        <v>1222.0458333333333</v>
      </c>
      <c r="K132" s="65">
        <f t="shared" si="71"/>
        <v>1222.0458333333333</v>
      </c>
      <c r="L132" s="65">
        <f t="shared" si="71"/>
        <v>1222.0458333333333</v>
      </c>
      <c r="M132" s="65">
        <f t="shared" si="71"/>
        <v>1222.0458333333333</v>
      </c>
      <c r="N132" s="65">
        <f t="shared" si="71"/>
        <v>1222.0458333333333</v>
      </c>
      <c r="O132" s="65">
        <f t="shared" si="71"/>
        <v>1222.0458333333333</v>
      </c>
      <c r="P132" s="65">
        <f t="shared" si="71"/>
        <v>1222.0458333333333</v>
      </c>
      <c r="Q132" s="65">
        <f t="shared" si="71"/>
        <v>1222.0458333333333</v>
      </c>
      <c r="R132" s="58">
        <f>SUM(F132:Q132)</f>
        <v>14664.550000000001</v>
      </c>
      <c r="S132" s="58">
        <f>E132-R132</f>
        <v>0</v>
      </c>
      <c r="T132" s="107"/>
      <c r="U132" s="9"/>
    </row>
    <row r="133" spans="1:21">
      <c r="A133" s="45"/>
      <c r="B133" s="34" t="str">
        <f>'3) Pre-Opening Budget'!B102</f>
        <v>Medicare</v>
      </c>
      <c r="C133" s="45"/>
      <c r="D133" s="45"/>
      <c r="E133" s="629">
        <f>'3) Pre-Opening Budget'!E102</f>
        <v>3429.6125000000002</v>
      </c>
      <c r="F133" s="65">
        <f t="shared" ref="F133:F141" si="72">$E133/12</f>
        <v>285.80104166666666</v>
      </c>
      <c r="G133" s="65">
        <f t="shared" si="71"/>
        <v>285.80104166666666</v>
      </c>
      <c r="H133" s="65">
        <f t="shared" si="71"/>
        <v>285.80104166666666</v>
      </c>
      <c r="I133" s="65">
        <f t="shared" si="71"/>
        <v>285.80104166666666</v>
      </c>
      <c r="J133" s="65">
        <f t="shared" si="71"/>
        <v>285.80104166666666</v>
      </c>
      <c r="K133" s="65">
        <f t="shared" si="71"/>
        <v>285.80104166666666</v>
      </c>
      <c r="L133" s="65">
        <f t="shared" si="71"/>
        <v>285.80104166666666</v>
      </c>
      <c r="M133" s="65">
        <f t="shared" si="71"/>
        <v>285.80104166666666</v>
      </c>
      <c r="N133" s="65">
        <f t="shared" si="71"/>
        <v>285.80104166666666</v>
      </c>
      <c r="O133" s="65">
        <f t="shared" si="71"/>
        <v>285.80104166666666</v>
      </c>
      <c r="P133" s="65">
        <f t="shared" si="71"/>
        <v>285.80104166666666</v>
      </c>
      <c r="Q133" s="65">
        <f t="shared" si="71"/>
        <v>285.80104166666666</v>
      </c>
      <c r="R133" s="58">
        <f>SUM(F133:Q133)</f>
        <v>3429.6124999999997</v>
      </c>
      <c r="S133" s="58">
        <f>E133-R133</f>
        <v>0</v>
      </c>
      <c r="T133" s="107"/>
      <c r="U133" s="9"/>
    </row>
    <row r="134" spans="1:21">
      <c r="A134" s="45"/>
      <c r="B134" s="34" t="str">
        <f>'3) Pre-Opening Budget'!B103</f>
        <v>State Unemployment</v>
      </c>
      <c r="C134" s="45"/>
      <c r="D134" s="45"/>
      <c r="E134" s="629">
        <f>'3) Pre-Opening Budget'!E103</f>
        <v>1726.6324999999999</v>
      </c>
      <c r="F134" s="65">
        <f t="shared" si="72"/>
        <v>143.88604166666667</v>
      </c>
      <c r="G134" s="65">
        <f t="shared" si="71"/>
        <v>143.88604166666667</v>
      </c>
      <c r="H134" s="65">
        <f t="shared" si="71"/>
        <v>143.88604166666667</v>
      </c>
      <c r="I134" s="65">
        <f t="shared" si="71"/>
        <v>143.88604166666667</v>
      </c>
      <c r="J134" s="65">
        <f t="shared" si="71"/>
        <v>143.88604166666667</v>
      </c>
      <c r="K134" s="65">
        <f t="shared" si="71"/>
        <v>143.88604166666667</v>
      </c>
      <c r="L134" s="65">
        <f t="shared" si="71"/>
        <v>143.88604166666667</v>
      </c>
      <c r="M134" s="65">
        <f t="shared" si="71"/>
        <v>143.88604166666667</v>
      </c>
      <c r="N134" s="65">
        <f t="shared" si="71"/>
        <v>143.88604166666667</v>
      </c>
      <c r="O134" s="65">
        <f t="shared" si="71"/>
        <v>143.88604166666667</v>
      </c>
      <c r="P134" s="65">
        <f t="shared" si="71"/>
        <v>143.88604166666667</v>
      </c>
      <c r="Q134" s="65">
        <f t="shared" si="71"/>
        <v>143.88604166666667</v>
      </c>
      <c r="R134" s="58">
        <f>SUM(F134:Q134)</f>
        <v>1726.6324999999999</v>
      </c>
      <c r="S134" s="58">
        <f>E134-R134</f>
        <v>0</v>
      </c>
      <c r="T134" s="107"/>
      <c r="U134" s="9"/>
    </row>
    <row r="135" spans="1:21">
      <c r="A135" s="45"/>
      <c r="B135" s="34" t="str">
        <f>'3) Pre-Opening Budget'!B104</f>
        <v>Disability/Life Insurance</v>
      </c>
      <c r="C135" s="45"/>
      <c r="D135" s="45"/>
      <c r="E135" s="629">
        <f>'3) Pre-Opening Budget'!E104</f>
        <v>780.53250000000003</v>
      </c>
      <c r="F135" s="65">
        <f t="shared" si="72"/>
        <v>65.044375000000002</v>
      </c>
      <c r="G135" s="65">
        <f t="shared" si="71"/>
        <v>65.044375000000002</v>
      </c>
      <c r="H135" s="65">
        <f t="shared" si="71"/>
        <v>65.044375000000002</v>
      </c>
      <c r="I135" s="65">
        <f t="shared" si="71"/>
        <v>65.044375000000002</v>
      </c>
      <c r="J135" s="65">
        <f t="shared" si="71"/>
        <v>65.044375000000002</v>
      </c>
      <c r="K135" s="65">
        <f t="shared" si="71"/>
        <v>65.044375000000002</v>
      </c>
      <c r="L135" s="65">
        <f t="shared" si="71"/>
        <v>65.044375000000002</v>
      </c>
      <c r="M135" s="65">
        <f t="shared" si="71"/>
        <v>65.044375000000002</v>
      </c>
      <c r="N135" s="65">
        <f t="shared" si="71"/>
        <v>65.044375000000002</v>
      </c>
      <c r="O135" s="65">
        <f t="shared" si="71"/>
        <v>65.044375000000002</v>
      </c>
      <c r="P135" s="65">
        <f t="shared" si="71"/>
        <v>65.044375000000002</v>
      </c>
      <c r="Q135" s="65">
        <f t="shared" si="71"/>
        <v>65.044375000000002</v>
      </c>
      <c r="R135" s="58">
        <f t="shared" ref="R135:R141" si="73">SUM(F135:Q135)</f>
        <v>780.5324999999998</v>
      </c>
      <c r="S135" s="58">
        <f t="shared" ref="S135:S141" si="74">E135-R135</f>
        <v>0</v>
      </c>
      <c r="T135" s="107"/>
      <c r="U135" s="9"/>
    </row>
    <row r="136" spans="1:21">
      <c r="A136" s="45"/>
      <c r="B136" s="34" t="str">
        <f>'3) Pre-Opening Budget'!B105</f>
        <v>Workers Compensation Insurance</v>
      </c>
      <c r="C136" s="45"/>
      <c r="D136" s="45"/>
      <c r="E136" s="629">
        <f>'3) Pre-Opening Budget'!E105</f>
        <v>804.18499999999995</v>
      </c>
      <c r="F136" s="65">
        <f t="shared" si="72"/>
        <v>67.015416666666667</v>
      </c>
      <c r="G136" s="65">
        <f t="shared" si="71"/>
        <v>67.015416666666667</v>
      </c>
      <c r="H136" s="65">
        <f t="shared" si="71"/>
        <v>67.015416666666667</v>
      </c>
      <c r="I136" s="65">
        <f t="shared" si="71"/>
        <v>67.015416666666667</v>
      </c>
      <c r="J136" s="65">
        <f t="shared" si="71"/>
        <v>67.015416666666667</v>
      </c>
      <c r="K136" s="65">
        <f t="shared" si="71"/>
        <v>67.015416666666667</v>
      </c>
      <c r="L136" s="65">
        <f t="shared" si="71"/>
        <v>67.015416666666667</v>
      </c>
      <c r="M136" s="65">
        <f t="shared" si="71"/>
        <v>67.015416666666667</v>
      </c>
      <c r="N136" s="65">
        <f t="shared" si="71"/>
        <v>67.015416666666667</v>
      </c>
      <c r="O136" s="65">
        <f t="shared" si="71"/>
        <v>67.015416666666667</v>
      </c>
      <c r="P136" s="65">
        <f t="shared" si="71"/>
        <v>67.015416666666667</v>
      </c>
      <c r="Q136" s="65">
        <f t="shared" si="71"/>
        <v>67.015416666666667</v>
      </c>
      <c r="R136" s="58">
        <f t="shared" si="73"/>
        <v>804.18499999999983</v>
      </c>
      <c r="S136" s="58">
        <f t="shared" si="74"/>
        <v>0</v>
      </c>
      <c r="T136" s="107"/>
      <c r="U136" s="9"/>
    </row>
    <row r="137" spans="1:21">
      <c r="A137" s="45"/>
      <c r="B137" s="34" t="str">
        <f>'3) Pre-Opening Budget'!B106</f>
        <v>Other Fringe Benefits</v>
      </c>
      <c r="C137" s="45"/>
      <c r="D137" s="45"/>
      <c r="E137" s="629">
        <f>'3) Pre-Opening Budget'!E106</f>
        <v>0</v>
      </c>
      <c r="F137" s="65">
        <f t="shared" si="72"/>
        <v>0</v>
      </c>
      <c r="G137" s="65">
        <f t="shared" si="71"/>
        <v>0</v>
      </c>
      <c r="H137" s="65">
        <f t="shared" si="71"/>
        <v>0</v>
      </c>
      <c r="I137" s="65">
        <f t="shared" si="71"/>
        <v>0</v>
      </c>
      <c r="J137" s="65">
        <f t="shared" si="71"/>
        <v>0</v>
      </c>
      <c r="K137" s="65">
        <f t="shared" si="71"/>
        <v>0</v>
      </c>
      <c r="L137" s="65">
        <f t="shared" si="71"/>
        <v>0</v>
      </c>
      <c r="M137" s="65">
        <f t="shared" si="71"/>
        <v>0</v>
      </c>
      <c r="N137" s="65">
        <f t="shared" si="71"/>
        <v>0</v>
      </c>
      <c r="O137" s="65">
        <f t="shared" si="71"/>
        <v>0</v>
      </c>
      <c r="P137" s="65">
        <f t="shared" si="71"/>
        <v>0</v>
      </c>
      <c r="Q137" s="65">
        <f t="shared" si="71"/>
        <v>0</v>
      </c>
      <c r="R137" s="58">
        <f t="shared" si="73"/>
        <v>0</v>
      </c>
      <c r="S137" s="58">
        <f t="shared" si="74"/>
        <v>0</v>
      </c>
      <c r="T137" s="107"/>
      <c r="U137" s="9"/>
    </row>
    <row r="138" spans="1:21">
      <c r="A138" s="45"/>
      <c r="B138" s="34" t="str">
        <f>'3) Pre-Opening Budget'!B107</f>
        <v>Medical Insurance</v>
      </c>
      <c r="C138" s="45"/>
      <c r="D138" s="45"/>
      <c r="E138" s="629">
        <f>'3) Pre-Opening Budget'!E107</f>
        <v>28916</v>
      </c>
      <c r="F138" s="65">
        <f t="shared" si="72"/>
        <v>2409.6666666666665</v>
      </c>
      <c r="G138" s="65">
        <f t="shared" si="71"/>
        <v>2409.6666666666665</v>
      </c>
      <c r="H138" s="65">
        <f t="shared" si="71"/>
        <v>2409.6666666666665</v>
      </c>
      <c r="I138" s="65">
        <f t="shared" si="71"/>
        <v>2409.6666666666665</v>
      </c>
      <c r="J138" s="65">
        <f t="shared" si="71"/>
        <v>2409.6666666666665</v>
      </c>
      <c r="K138" s="65">
        <f t="shared" si="71"/>
        <v>2409.6666666666665</v>
      </c>
      <c r="L138" s="65">
        <f t="shared" si="71"/>
        <v>2409.6666666666665</v>
      </c>
      <c r="M138" s="65">
        <f t="shared" si="71"/>
        <v>2409.6666666666665</v>
      </c>
      <c r="N138" s="65">
        <f t="shared" si="71"/>
        <v>2409.6666666666665</v>
      </c>
      <c r="O138" s="65">
        <f t="shared" si="71"/>
        <v>2409.6666666666665</v>
      </c>
      <c r="P138" s="65">
        <f t="shared" si="71"/>
        <v>2409.6666666666665</v>
      </c>
      <c r="Q138" s="65">
        <f t="shared" si="71"/>
        <v>2409.6666666666665</v>
      </c>
      <c r="R138" s="58">
        <f t="shared" si="73"/>
        <v>28916.000000000004</v>
      </c>
      <c r="S138" s="58">
        <f t="shared" si="74"/>
        <v>0</v>
      </c>
      <c r="T138" s="107"/>
      <c r="U138" s="9"/>
    </row>
    <row r="139" spans="1:21">
      <c r="A139" s="45"/>
      <c r="B139" s="34" t="str">
        <f>'3) Pre-Opening Budget'!B108</f>
        <v>Dental Insurance</v>
      </c>
      <c r="C139" s="45"/>
      <c r="D139" s="45"/>
      <c r="E139" s="629">
        <f>'3) Pre-Opening Budget'!E108</f>
        <v>2180</v>
      </c>
      <c r="F139" s="65">
        <f t="shared" si="72"/>
        <v>181.66666666666666</v>
      </c>
      <c r="G139" s="65">
        <f t="shared" si="71"/>
        <v>181.66666666666666</v>
      </c>
      <c r="H139" s="65">
        <f t="shared" si="71"/>
        <v>181.66666666666666</v>
      </c>
      <c r="I139" s="65">
        <f t="shared" si="71"/>
        <v>181.66666666666666</v>
      </c>
      <c r="J139" s="65">
        <f t="shared" si="71"/>
        <v>181.66666666666666</v>
      </c>
      <c r="K139" s="65">
        <f t="shared" si="71"/>
        <v>181.66666666666666</v>
      </c>
      <c r="L139" s="65">
        <f t="shared" si="71"/>
        <v>181.66666666666666</v>
      </c>
      <c r="M139" s="65">
        <f t="shared" si="71"/>
        <v>181.66666666666666</v>
      </c>
      <c r="N139" s="65">
        <f t="shared" si="71"/>
        <v>181.66666666666666</v>
      </c>
      <c r="O139" s="65">
        <f t="shared" si="71"/>
        <v>181.66666666666666</v>
      </c>
      <c r="P139" s="65">
        <f t="shared" si="71"/>
        <v>181.66666666666666</v>
      </c>
      <c r="Q139" s="65">
        <f t="shared" si="71"/>
        <v>181.66666666666666</v>
      </c>
      <c r="R139" s="58">
        <f t="shared" si="73"/>
        <v>2180.0000000000005</v>
      </c>
      <c r="S139" s="58">
        <f t="shared" si="74"/>
        <v>0</v>
      </c>
      <c r="T139" s="107"/>
      <c r="U139" s="9"/>
    </row>
    <row r="140" spans="1:21">
      <c r="A140" s="45"/>
      <c r="B140" s="34" t="str">
        <f>'3) Pre-Opening Budget'!B109</f>
        <v>Vision Insurance</v>
      </c>
      <c r="C140" s="45"/>
      <c r="D140" s="45"/>
      <c r="E140" s="629">
        <f>'3) Pre-Opening Budget'!E109</f>
        <v>0</v>
      </c>
      <c r="F140" s="65">
        <f t="shared" si="72"/>
        <v>0</v>
      </c>
      <c r="G140" s="65">
        <f t="shared" si="71"/>
        <v>0</v>
      </c>
      <c r="H140" s="65">
        <f t="shared" si="71"/>
        <v>0</v>
      </c>
      <c r="I140" s="65">
        <f t="shared" si="71"/>
        <v>0</v>
      </c>
      <c r="J140" s="65">
        <f t="shared" si="71"/>
        <v>0</v>
      </c>
      <c r="K140" s="65">
        <f t="shared" si="71"/>
        <v>0</v>
      </c>
      <c r="L140" s="65">
        <f t="shared" si="71"/>
        <v>0</v>
      </c>
      <c r="M140" s="65">
        <f t="shared" si="71"/>
        <v>0</v>
      </c>
      <c r="N140" s="65">
        <f t="shared" si="71"/>
        <v>0</v>
      </c>
      <c r="O140" s="65">
        <f t="shared" si="71"/>
        <v>0</v>
      </c>
      <c r="P140" s="65">
        <f t="shared" si="71"/>
        <v>0</v>
      </c>
      <c r="Q140" s="65">
        <f t="shared" si="71"/>
        <v>0</v>
      </c>
      <c r="R140" s="58">
        <f t="shared" si="73"/>
        <v>0</v>
      </c>
      <c r="S140" s="58">
        <f t="shared" si="74"/>
        <v>0</v>
      </c>
      <c r="T140" s="107"/>
      <c r="U140" s="9"/>
    </row>
    <row r="141" spans="1:21">
      <c r="A141" s="45"/>
      <c r="B141" s="34" t="str">
        <f>'3) Pre-Opening Budget'!B110</f>
        <v>Other Retirement</v>
      </c>
      <c r="C141" s="45"/>
      <c r="D141" s="45"/>
      <c r="E141" s="629">
        <f>'3) Pre-Opening Budget'!E110</f>
        <v>21287.25</v>
      </c>
      <c r="F141" s="65">
        <f t="shared" si="72"/>
        <v>1773.9375</v>
      </c>
      <c r="G141" s="65">
        <f t="shared" si="71"/>
        <v>1773.9375</v>
      </c>
      <c r="H141" s="65">
        <f t="shared" si="71"/>
        <v>1773.9375</v>
      </c>
      <c r="I141" s="65">
        <f t="shared" si="71"/>
        <v>1773.9375</v>
      </c>
      <c r="J141" s="65">
        <f t="shared" si="71"/>
        <v>1773.9375</v>
      </c>
      <c r="K141" s="65">
        <f t="shared" si="71"/>
        <v>1773.9375</v>
      </c>
      <c r="L141" s="65">
        <f t="shared" si="71"/>
        <v>1773.9375</v>
      </c>
      <c r="M141" s="65">
        <f t="shared" si="71"/>
        <v>1773.9375</v>
      </c>
      <c r="N141" s="65">
        <f t="shared" si="71"/>
        <v>1773.9375</v>
      </c>
      <c r="O141" s="65">
        <f t="shared" si="71"/>
        <v>1773.9375</v>
      </c>
      <c r="P141" s="65">
        <f t="shared" si="71"/>
        <v>1773.9375</v>
      </c>
      <c r="Q141" s="65">
        <f t="shared" si="71"/>
        <v>1773.9375</v>
      </c>
      <c r="R141" s="58">
        <f t="shared" si="73"/>
        <v>21287.25</v>
      </c>
      <c r="S141" s="58">
        <f t="shared" si="74"/>
        <v>0</v>
      </c>
      <c r="T141" s="107"/>
      <c r="U141" s="9"/>
    </row>
    <row r="142" spans="1:21">
      <c r="B142" s="8"/>
      <c r="U142" s="9"/>
    </row>
    <row r="143" spans="1:21" ht="15.75" thickBot="1">
      <c r="B143" s="29" t="s">
        <v>129</v>
      </c>
      <c r="C143" s="42"/>
      <c r="D143" s="42"/>
      <c r="E143" s="54">
        <f t="shared" ref="E143:S143" si="75">SUM(E132:E141)</f>
        <v>73788.762499999997</v>
      </c>
      <c r="F143" s="54">
        <f t="shared" si="75"/>
        <v>6149.0635416666664</v>
      </c>
      <c r="G143" s="54">
        <f t="shared" si="75"/>
        <v>6149.0635416666664</v>
      </c>
      <c r="H143" s="54">
        <f t="shared" si="75"/>
        <v>6149.0635416666664</v>
      </c>
      <c r="I143" s="54">
        <f t="shared" si="75"/>
        <v>6149.0635416666664</v>
      </c>
      <c r="J143" s="54">
        <f t="shared" si="75"/>
        <v>6149.0635416666664</v>
      </c>
      <c r="K143" s="54">
        <f t="shared" si="75"/>
        <v>6149.0635416666664</v>
      </c>
      <c r="L143" s="54">
        <f t="shared" si="75"/>
        <v>6149.0635416666664</v>
      </c>
      <c r="M143" s="54">
        <f t="shared" si="75"/>
        <v>6149.0635416666664</v>
      </c>
      <c r="N143" s="54">
        <f t="shared" si="75"/>
        <v>6149.0635416666664</v>
      </c>
      <c r="O143" s="54">
        <f t="shared" si="75"/>
        <v>6149.0635416666664</v>
      </c>
      <c r="P143" s="54">
        <f t="shared" si="75"/>
        <v>6149.0635416666664</v>
      </c>
      <c r="Q143" s="54">
        <f t="shared" si="75"/>
        <v>6149.0635416666664</v>
      </c>
      <c r="R143" s="54">
        <f t="shared" si="75"/>
        <v>73788.762500000012</v>
      </c>
      <c r="S143" s="54">
        <f t="shared" si="75"/>
        <v>0</v>
      </c>
      <c r="T143" s="55"/>
      <c r="U143" s="9"/>
    </row>
    <row r="144" spans="1:21" ht="16.5" thickTop="1" thickBot="1">
      <c r="B144" s="134"/>
      <c r="C144" s="135"/>
      <c r="D144" s="135"/>
      <c r="E144" s="136"/>
      <c r="F144" s="136"/>
      <c r="G144" s="136"/>
      <c r="H144" s="136"/>
      <c r="I144" s="136"/>
      <c r="J144" s="136"/>
      <c r="K144" s="136"/>
      <c r="L144" s="136"/>
      <c r="M144" s="136"/>
      <c r="N144" s="136"/>
      <c r="O144" s="136"/>
      <c r="P144" s="136"/>
      <c r="Q144" s="136"/>
      <c r="R144" s="136"/>
      <c r="S144" s="136"/>
      <c r="T144" s="136"/>
      <c r="U144" s="22"/>
    </row>
    <row r="145" spans="1:21">
      <c r="B145" s="137"/>
      <c r="C145" s="138"/>
      <c r="D145" s="138"/>
      <c r="E145" s="139"/>
      <c r="F145" s="139"/>
      <c r="G145" s="139"/>
      <c r="H145" s="139"/>
      <c r="I145" s="139"/>
      <c r="J145" s="139"/>
      <c r="K145" s="139"/>
      <c r="L145" s="139"/>
      <c r="M145" s="139"/>
      <c r="N145" s="139"/>
      <c r="O145" s="139"/>
      <c r="P145" s="139"/>
      <c r="Q145" s="139"/>
      <c r="R145" s="139"/>
      <c r="S145" s="139"/>
      <c r="T145" s="139"/>
      <c r="U145" s="7"/>
    </row>
    <row r="146" spans="1:21">
      <c r="B146" s="29"/>
      <c r="C146" s="42"/>
      <c r="D146" s="42"/>
      <c r="E146" s="783" t="s">
        <v>130</v>
      </c>
      <c r="F146" s="783"/>
      <c r="G146" s="783"/>
      <c r="H146" s="783"/>
      <c r="I146" s="783"/>
      <c r="J146" s="783"/>
      <c r="K146" s="783"/>
      <c r="L146" s="783"/>
      <c r="M146" s="783"/>
      <c r="N146" s="783"/>
      <c r="O146" s="783"/>
      <c r="P146" s="783"/>
      <c r="Q146" s="783"/>
      <c r="R146" s="783"/>
      <c r="S146" s="783"/>
      <c r="T146" s="55"/>
      <c r="U146" s="9"/>
    </row>
    <row r="147" spans="1:21">
      <c r="B147" s="29"/>
      <c r="C147" s="42"/>
      <c r="D147" s="42"/>
      <c r="E147" s="42"/>
      <c r="F147" s="42"/>
      <c r="G147" s="42"/>
      <c r="H147" s="42"/>
      <c r="I147" s="42"/>
      <c r="J147" s="42"/>
      <c r="K147" s="42"/>
      <c r="L147" s="42"/>
      <c r="M147" s="42"/>
      <c r="N147" s="42"/>
      <c r="O147" s="42"/>
      <c r="P147" s="42"/>
      <c r="Q147" s="42"/>
      <c r="R147" s="42"/>
      <c r="S147" s="42"/>
      <c r="T147" s="55"/>
      <c r="U147" s="157"/>
    </row>
    <row r="148" spans="1:21">
      <c r="B148" s="29"/>
      <c r="C148" s="42"/>
      <c r="D148" s="42"/>
      <c r="E148" s="83" t="str">
        <f t="shared" ref="E148:S148" si="76">E10</f>
        <v>Year 0</v>
      </c>
      <c r="F148" s="83" t="str">
        <f t="shared" si="76"/>
        <v>Year 0</v>
      </c>
      <c r="G148" s="83" t="str">
        <f t="shared" si="76"/>
        <v>Year 0</v>
      </c>
      <c r="H148" s="83" t="str">
        <f t="shared" si="76"/>
        <v>Year 0</v>
      </c>
      <c r="I148" s="83" t="str">
        <f t="shared" si="76"/>
        <v>Year 0</v>
      </c>
      <c r="J148" s="83" t="str">
        <f t="shared" si="76"/>
        <v>Year 0</v>
      </c>
      <c r="K148" s="83" t="str">
        <f t="shared" si="76"/>
        <v>Year 0</v>
      </c>
      <c r="L148" s="83" t="str">
        <f t="shared" si="76"/>
        <v>Year 0</v>
      </c>
      <c r="M148" s="83" t="str">
        <f t="shared" si="76"/>
        <v>Year 0</v>
      </c>
      <c r="N148" s="83" t="str">
        <f t="shared" si="76"/>
        <v>Year 0</v>
      </c>
      <c r="O148" s="83" t="str">
        <f t="shared" si="76"/>
        <v>Year 0</v>
      </c>
      <c r="P148" s="83" t="str">
        <f t="shared" si="76"/>
        <v>Year 0</v>
      </c>
      <c r="Q148" s="83" t="str">
        <f t="shared" si="76"/>
        <v>Year 0</v>
      </c>
      <c r="R148" s="83" t="str">
        <f t="shared" si="76"/>
        <v>Year 0</v>
      </c>
      <c r="S148" s="83" t="str">
        <f t="shared" si="76"/>
        <v>Year 0</v>
      </c>
      <c r="T148" s="73"/>
      <c r="U148" s="157"/>
    </row>
    <row r="149" spans="1:21">
      <c r="B149" s="29"/>
      <c r="C149" s="42"/>
      <c r="D149" s="42"/>
      <c r="E149" s="74" t="str">
        <f t="shared" ref="E149:S149" si="77">E11</f>
        <v>2023-24</v>
      </c>
      <c r="F149" s="74" t="str">
        <f t="shared" si="77"/>
        <v>2023-24</v>
      </c>
      <c r="G149" s="74" t="str">
        <f t="shared" si="77"/>
        <v>2023-24</v>
      </c>
      <c r="H149" s="74" t="str">
        <f t="shared" si="77"/>
        <v>2023-24</v>
      </c>
      <c r="I149" s="74" t="str">
        <f t="shared" si="77"/>
        <v>2023-24</v>
      </c>
      <c r="J149" s="74" t="str">
        <f t="shared" si="77"/>
        <v>2023-24</v>
      </c>
      <c r="K149" s="74" t="str">
        <f t="shared" si="77"/>
        <v>2023-24</v>
      </c>
      <c r="L149" s="74" t="str">
        <f t="shared" si="77"/>
        <v>2023-24</v>
      </c>
      <c r="M149" s="74" t="str">
        <f t="shared" si="77"/>
        <v>2023-24</v>
      </c>
      <c r="N149" s="74" t="str">
        <f t="shared" si="77"/>
        <v>2023-24</v>
      </c>
      <c r="O149" s="74" t="str">
        <f t="shared" si="77"/>
        <v>2023-24</v>
      </c>
      <c r="P149" s="74" t="str">
        <f t="shared" si="77"/>
        <v>2023-24</v>
      </c>
      <c r="Q149" s="74" t="str">
        <f t="shared" si="77"/>
        <v>2023-24</v>
      </c>
      <c r="R149" s="74" t="str">
        <f t="shared" si="77"/>
        <v>2023-24</v>
      </c>
      <c r="S149" s="74" t="str">
        <f t="shared" si="77"/>
        <v>2023-24</v>
      </c>
      <c r="T149" s="85"/>
      <c r="U149" s="157"/>
    </row>
    <row r="150" spans="1:21">
      <c r="A150" s="45"/>
      <c r="B150" s="34"/>
      <c r="C150" s="42"/>
      <c r="D150" s="2"/>
      <c r="E150" s="74" t="str">
        <f t="shared" ref="E150:S150" si="78">E12</f>
        <v>Total Budget</v>
      </c>
      <c r="F150" s="74" t="str">
        <f t="shared" si="78"/>
        <v>July</v>
      </c>
      <c r="G150" s="74" t="str">
        <f t="shared" si="78"/>
        <v>August</v>
      </c>
      <c r="H150" s="74" t="str">
        <f t="shared" si="78"/>
        <v>September</v>
      </c>
      <c r="I150" s="74" t="str">
        <f t="shared" si="78"/>
        <v>October</v>
      </c>
      <c r="J150" s="74" t="str">
        <f t="shared" si="78"/>
        <v>November</v>
      </c>
      <c r="K150" s="74" t="str">
        <f t="shared" si="78"/>
        <v>December</v>
      </c>
      <c r="L150" s="74" t="str">
        <f t="shared" si="78"/>
        <v>January</v>
      </c>
      <c r="M150" s="74" t="str">
        <f t="shared" si="78"/>
        <v>February</v>
      </c>
      <c r="N150" s="74" t="str">
        <f t="shared" si="78"/>
        <v>March</v>
      </c>
      <c r="O150" s="74" t="str">
        <f t="shared" si="78"/>
        <v>April</v>
      </c>
      <c r="P150" s="74" t="str">
        <f t="shared" si="78"/>
        <v>May</v>
      </c>
      <c r="Q150" s="74" t="str">
        <f t="shared" si="78"/>
        <v>June</v>
      </c>
      <c r="R150" s="74" t="str">
        <f t="shared" si="78"/>
        <v>Total</v>
      </c>
      <c r="S150" s="74" t="str">
        <f t="shared" si="78"/>
        <v>AR/AP</v>
      </c>
      <c r="T150" s="44"/>
      <c r="U150" s="9"/>
    </row>
    <row r="151" spans="1:21" hidden="1">
      <c r="A151" s="45"/>
      <c r="B151" s="34"/>
      <c r="C151" s="45"/>
      <c r="D151" s="2"/>
      <c r="E151" s="76" t="e">
        <f>100%+E150</f>
        <v>#VALUE!</v>
      </c>
      <c r="F151" s="76" t="e">
        <f>E151*(1+F150)</f>
        <v>#VALUE!</v>
      </c>
      <c r="G151" s="76" t="e">
        <f t="shared" ref="G151:M151" si="79">F151*(1+G150)</f>
        <v>#VALUE!</v>
      </c>
      <c r="H151" s="76" t="e">
        <f t="shared" si="79"/>
        <v>#VALUE!</v>
      </c>
      <c r="I151" s="76" t="e">
        <f t="shared" si="79"/>
        <v>#VALUE!</v>
      </c>
      <c r="J151" s="76" t="e">
        <f t="shared" si="79"/>
        <v>#VALUE!</v>
      </c>
      <c r="K151" s="76" t="e">
        <f t="shared" si="79"/>
        <v>#VALUE!</v>
      </c>
      <c r="L151" s="76" t="e">
        <f t="shared" si="79"/>
        <v>#VALUE!</v>
      </c>
      <c r="M151" s="76" t="e">
        <f t="shared" si="79"/>
        <v>#VALUE!</v>
      </c>
      <c r="N151" s="76"/>
      <c r="O151" s="76"/>
      <c r="P151" s="76"/>
      <c r="Q151" s="76"/>
      <c r="R151" s="76"/>
      <c r="S151" s="76" t="e">
        <f>M151*(1+S150)</f>
        <v>#VALUE!</v>
      </c>
      <c r="T151" s="76"/>
      <c r="U151" s="9"/>
    </row>
    <row r="152" spans="1:21">
      <c r="B152" s="29"/>
      <c r="C152" s="42"/>
      <c r="D152" s="42"/>
      <c r="E152" s="55"/>
      <c r="F152" s="55"/>
      <c r="G152" s="55"/>
      <c r="H152" s="55"/>
      <c r="I152" s="55"/>
      <c r="J152" s="55"/>
      <c r="K152" s="55"/>
      <c r="L152" s="55"/>
      <c r="M152" s="55"/>
      <c r="N152" s="55"/>
      <c r="O152" s="55"/>
      <c r="P152" s="55"/>
      <c r="Q152" s="55"/>
      <c r="R152" s="55"/>
      <c r="S152" s="55"/>
      <c r="T152" s="55"/>
      <c r="U152" s="9"/>
    </row>
    <row r="153" spans="1:21">
      <c r="B153" s="29" t="s">
        <v>132</v>
      </c>
      <c r="C153" s="42"/>
      <c r="D153" s="42"/>
      <c r="E153" s="55"/>
      <c r="F153" s="55"/>
      <c r="G153" s="55"/>
      <c r="H153" s="55"/>
      <c r="I153" s="55"/>
      <c r="J153" s="55"/>
      <c r="K153" s="55"/>
      <c r="L153" s="55"/>
      <c r="M153" s="55"/>
      <c r="N153" s="55"/>
      <c r="O153" s="55"/>
      <c r="P153" s="55"/>
      <c r="Q153" s="55"/>
      <c r="R153" s="55"/>
      <c r="S153" s="55"/>
      <c r="T153" s="47" t="s">
        <v>91</v>
      </c>
      <c r="U153" s="9"/>
    </row>
    <row r="154" spans="1:21">
      <c r="B154" s="34" t="str">
        <f>'3) Pre-Opening Budget'!B123</f>
        <v>Professional Development</v>
      </c>
      <c r="C154" s="89"/>
      <c r="E154" s="82">
        <f>'3) Pre-Opening Budget'!E123</f>
        <v>0</v>
      </c>
      <c r="F154" s="65">
        <f>$E154/12</f>
        <v>0</v>
      </c>
      <c r="G154" s="65">
        <f t="shared" ref="G154:Q162" si="80">$E154/12</f>
        <v>0</v>
      </c>
      <c r="H154" s="65">
        <f t="shared" si="80"/>
        <v>0</v>
      </c>
      <c r="I154" s="65">
        <f t="shared" si="80"/>
        <v>0</v>
      </c>
      <c r="J154" s="65">
        <f t="shared" si="80"/>
        <v>0</v>
      </c>
      <c r="K154" s="65">
        <f t="shared" si="80"/>
        <v>0</v>
      </c>
      <c r="L154" s="65">
        <f t="shared" si="80"/>
        <v>0</v>
      </c>
      <c r="M154" s="65">
        <f t="shared" si="80"/>
        <v>0</v>
      </c>
      <c r="N154" s="65">
        <f t="shared" si="80"/>
        <v>0</v>
      </c>
      <c r="O154" s="65">
        <f t="shared" si="80"/>
        <v>0</v>
      </c>
      <c r="P154" s="65">
        <f t="shared" si="80"/>
        <v>0</v>
      </c>
      <c r="Q154" s="65">
        <f t="shared" si="80"/>
        <v>0</v>
      </c>
      <c r="R154" s="58">
        <f>SUM(F154:Q154)</f>
        <v>0</v>
      </c>
      <c r="S154" s="58">
        <f>E154-R154</f>
        <v>0</v>
      </c>
      <c r="T154" s="106" t="s">
        <v>133</v>
      </c>
      <c r="U154" s="9"/>
    </row>
    <row r="155" spans="1:21">
      <c r="B155" s="34" t="str">
        <f>'3) Pre-Opening Budget'!B124</f>
        <v>Financial Services</v>
      </c>
      <c r="C155" s="89"/>
      <c r="E155" s="82">
        <f>'3) Pre-Opening Budget'!E124</f>
        <v>8000</v>
      </c>
      <c r="F155" s="65">
        <f t="shared" ref="F155:F169" si="81">$E155/12</f>
        <v>666.66666666666663</v>
      </c>
      <c r="G155" s="65">
        <f t="shared" si="80"/>
        <v>666.66666666666663</v>
      </c>
      <c r="H155" s="65">
        <f t="shared" si="80"/>
        <v>666.66666666666663</v>
      </c>
      <c r="I155" s="65">
        <f t="shared" si="80"/>
        <v>666.66666666666663</v>
      </c>
      <c r="J155" s="65">
        <f t="shared" si="80"/>
        <v>666.66666666666663</v>
      </c>
      <c r="K155" s="65">
        <f t="shared" si="80"/>
        <v>666.66666666666663</v>
      </c>
      <c r="L155" s="65">
        <f t="shared" si="80"/>
        <v>666.66666666666663</v>
      </c>
      <c r="M155" s="65">
        <f t="shared" si="80"/>
        <v>666.66666666666663</v>
      </c>
      <c r="N155" s="65">
        <f t="shared" si="80"/>
        <v>666.66666666666663</v>
      </c>
      <c r="O155" s="65">
        <f t="shared" si="80"/>
        <v>666.66666666666663</v>
      </c>
      <c r="P155" s="65">
        <f t="shared" si="80"/>
        <v>666.66666666666663</v>
      </c>
      <c r="Q155" s="65">
        <f t="shared" si="80"/>
        <v>666.66666666666663</v>
      </c>
      <c r="R155" s="58">
        <f>SUM(F155:Q155)</f>
        <v>8000.0000000000009</v>
      </c>
      <c r="S155" s="58">
        <f>E155-R155</f>
        <v>0</v>
      </c>
      <c r="T155" s="106" t="s">
        <v>134</v>
      </c>
      <c r="U155" s="9"/>
    </row>
    <row r="156" spans="1:21">
      <c r="B156" s="34" t="str">
        <f>'3) Pre-Opening Budget'!B125</f>
        <v>Audit Services</v>
      </c>
      <c r="C156" s="89"/>
      <c r="E156" s="82">
        <f>'3) Pre-Opening Budget'!E125</f>
        <v>12000</v>
      </c>
      <c r="F156" s="65">
        <f t="shared" si="81"/>
        <v>1000</v>
      </c>
      <c r="G156" s="65">
        <f t="shared" si="80"/>
        <v>1000</v>
      </c>
      <c r="H156" s="65">
        <f t="shared" si="80"/>
        <v>1000</v>
      </c>
      <c r="I156" s="65">
        <f t="shared" si="80"/>
        <v>1000</v>
      </c>
      <c r="J156" s="65">
        <f t="shared" si="80"/>
        <v>1000</v>
      </c>
      <c r="K156" s="65">
        <f t="shared" si="80"/>
        <v>1000</v>
      </c>
      <c r="L156" s="65">
        <f t="shared" si="80"/>
        <v>1000</v>
      </c>
      <c r="M156" s="65">
        <f t="shared" si="80"/>
        <v>1000</v>
      </c>
      <c r="N156" s="65">
        <f t="shared" si="80"/>
        <v>1000</v>
      </c>
      <c r="O156" s="65">
        <f t="shared" si="80"/>
        <v>1000</v>
      </c>
      <c r="P156" s="65">
        <f t="shared" si="80"/>
        <v>1000</v>
      </c>
      <c r="Q156" s="65">
        <f t="shared" si="80"/>
        <v>1000</v>
      </c>
      <c r="R156" s="58">
        <f>SUM(F156:Q156)</f>
        <v>12000</v>
      </c>
      <c r="S156" s="58">
        <f>E156-R156</f>
        <v>0</v>
      </c>
      <c r="T156" s="106" t="s">
        <v>135</v>
      </c>
      <c r="U156" s="9"/>
    </row>
    <row r="157" spans="1:21">
      <c r="B157" s="34" t="str">
        <f>'3) Pre-Opening Budget'!B126</f>
        <v>Legal Fees</v>
      </c>
      <c r="C157" s="89"/>
      <c r="E157" s="82">
        <f>'3) Pre-Opening Budget'!E126</f>
        <v>10000</v>
      </c>
      <c r="F157" s="65">
        <f t="shared" si="81"/>
        <v>833.33333333333337</v>
      </c>
      <c r="G157" s="65">
        <f t="shared" si="80"/>
        <v>833.33333333333337</v>
      </c>
      <c r="H157" s="65">
        <f t="shared" si="80"/>
        <v>833.33333333333337</v>
      </c>
      <c r="I157" s="65">
        <f t="shared" si="80"/>
        <v>833.33333333333337</v>
      </c>
      <c r="J157" s="65">
        <f t="shared" si="80"/>
        <v>833.33333333333337</v>
      </c>
      <c r="K157" s="65">
        <f t="shared" si="80"/>
        <v>833.33333333333337</v>
      </c>
      <c r="L157" s="65">
        <f t="shared" si="80"/>
        <v>833.33333333333337</v>
      </c>
      <c r="M157" s="65">
        <f t="shared" si="80"/>
        <v>833.33333333333337</v>
      </c>
      <c r="N157" s="65">
        <f t="shared" si="80"/>
        <v>833.33333333333337</v>
      </c>
      <c r="O157" s="65">
        <f t="shared" si="80"/>
        <v>833.33333333333337</v>
      </c>
      <c r="P157" s="65">
        <f t="shared" si="80"/>
        <v>833.33333333333337</v>
      </c>
      <c r="Q157" s="65">
        <f t="shared" si="80"/>
        <v>833.33333333333337</v>
      </c>
      <c r="R157" s="58">
        <f t="shared" ref="R157:R163" si="82">SUM(F157:Q157)</f>
        <v>10000</v>
      </c>
      <c r="S157" s="58">
        <f t="shared" ref="S157:S163" si="83">E157-R157</f>
        <v>0</v>
      </c>
      <c r="T157" s="106" t="s">
        <v>136</v>
      </c>
      <c r="U157" s="9"/>
    </row>
    <row r="158" spans="1:21">
      <c r="B158" s="34" t="str">
        <f>'3) Pre-Opening Budget'!B127</f>
        <v>Copier Lease and Usage</v>
      </c>
      <c r="C158" s="89"/>
      <c r="E158" s="82">
        <f>'3) Pre-Opening Budget'!E127</f>
        <v>2436</v>
      </c>
      <c r="F158" s="65">
        <f t="shared" si="81"/>
        <v>203</v>
      </c>
      <c r="G158" s="65">
        <f t="shared" si="80"/>
        <v>203</v>
      </c>
      <c r="H158" s="65">
        <f t="shared" si="80"/>
        <v>203</v>
      </c>
      <c r="I158" s="65">
        <f t="shared" si="80"/>
        <v>203</v>
      </c>
      <c r="J158" s="65">
        <f t="shared" si="80"/>
        <v>203</v>
      </c>
      <c r="K158" s="65">
        <f t="shared" si="80"/>
        <v>203</v>
      </c>
      <c r="L158" s="65">
        <f t="shared" si="80"/>
        <v>203</v>
      </c>
      <c r="M158" s="65">
        <f t="shared" si="80"/>
        <v>203</v>
      </c>
      <c r="N158" s="65">
        <f t="shared" si="80"/>
        <v>203</v>
      </c>
      <c r="O158" s="65">
        <f t="shared" si="80"/>
        <v>203</v>
      </c>
      <c r="P158" s="65">
        <f t="shared" si="80"/>
        <v>203</v>
      </c>
      <c r="Q158" s="65">
        <f t="shared" si="80"/>
        <v>203</v>
      </c>
      <c r="R158" s="58">
        <f t="shared" si="82"/>
        <v>2436</v>
      </c>
      <c r="S158" s="58">
        <f t="shared" si="83"/>
        <v>0</v>
      </c>
      <c r="T158" s="106" t="s">
        <v>137</v>
      </c>
      <c r="U158" s="9"/>
    </row>
    <row r="159" spans="1:21">
      <c r="B159" s="34" t="str">
        <f>'3) Pre-Opening Budget'!B128</f>
        <v>Internet and Phone Service</v>
      </c>
      <c r="C159" s="89"/>
      <c r="E159" s="82">
        <f>'3) Pre-Opening Budget'!E128</f>
        <v>0</v>
      </c>
      <c r="F159" s="65">
        <f t="shared" si="81"/>
        <v>0</v>
      </c>
      <c r="G159" s="65">
        <f t="shared" si="80"/>
        <v>0</v>
      </c>
      <c r="H159" s="65">
        <f t="shared" si="80"/>
        <v>0</v>
      </c>
      <c r="I159" s="65">
        <f t="shared" si="80"/>
        <v>0</v>
      </c>
      <c r="J159" s="65">
        <f t="shared" si="80"/>
        <v>0</v>
      </c>
      <c r="K159" s="65">
        <f t="shared" si="80"/>
        <v>0</v>
      </c>
      <c r="L159" s="65">
        <f t="shared" si="80"/>
        <v>0</v>
      </c>
      <c r="M159" s="65">
        <f t="shared" si="80"/>
        <v>0</v>
      </c>
      <c r="N159" s="65">
        <f t="shared" si="80"/>
        <v>0</v>
      </c>
      <c r="O159" s="65">
        <f t="shared" si="80"/>
        <v>0</v>
      </c>
      <c r="P159" s="65">
        <f t="shared" si="80"/>
        <v>0</v>
      </c>
      <c r="Q159" s="65">
        <f t="shared" si="80"/>
        <v>0</v>
      </c>
      <c r="R159" s="58">
        <f t="shared" si="82"/>
        <v>0</v>
      </c>
      <c r="S159" s="58">
        <f t="shared" si="83"/>
        <v>0</v>
      </c>
      <c r="T159" s="106" t="s">
        <v>138</v>
      </c>
      <c r="U159" s="9"/>
    </row>
    <row r="160" spans="1:21">
      <c r="B160" s="34" t="str">
        <f>'3) Pre-Opening Budget'!B129</f>
        <v>Cell Phone Service</v>
      </c>
      <c r="C160" s="89"/>
      <c r="E160" s="82">
        <f>'3) Pre-Opening Budget'!E129</f>
        <v>600</v>
      </c>
      <c r="F160" s="65">
        <f t="shared" si="81"/>
        <v>50</v>
      </c>
      <c r="G160" s="65">
        <f t="shared" si="80"/>
        <v>50</v>
      </c>
      <c r="H160" s="65">
        <f t="shared" si="80"/>
        <v>50</v>
      </c>
      <c r="I160" s="65">
        <f t="shared" si="80"/>
        <v>50</v>
      </c>
      <c r="J160" s="65">
        <f t="shared" si="80"/>
        <v>50</v>
      </c>
      <c r="K160" s="65">
        <f t="shared" si="80"/>
        <v>50</v>
      </c>
      <c r="L160" s="65">
        <f t="shared" si="80"/>
        <v>50</v>
      </c>
      <c r="M160" s="65">
        <f t="shared" si="80"/>
        <v>50</v>
      </c>
      <c r="N160" s="65">
        <f t="shared" si="80"/>
        <v>50</v>
      </c>
      <c r="O160" s="65">
        <f t="shared" si="80"/>
        <v>50</v>
      </c>
      <c r="P160" s="65">
        <f t="shared" si="80"/>
        <v>50</v>
      </c>
      <c r="Q160" s="65">
        <f t="shared" si="80"/>
        <v>50</v>
      </c>
      <c r="R160" s="58">
        <f t="shared" si="82"/>
        <v>600</v>
      </c>
      <c r="S160" s="58">
        <f t="shared" si="83"/>
        <v>0</v>
      </c>
      <c r="T160" s="106" t="s">
        <v>139</v>
      </c>
      <c r="U160" s="9"/>
    </row>
    <row r="161" spans="2:21">
      <c r="B161" s="34" t="str">
        <f>'3) Pre-Opening Budget'!B130</f>
        <v>Payroll Services</v>
      </c>
      <c r="C161" s="89"/>
      <c r="E161" s="82">
        <f>'3) Pre-Opening Budget'!E130</f>
        <v>0</v>
      </c>
      <c r="F161" s="65">
        <f t="shared" si="81"/>
        <v>0</v>
      </c>
      <c r="G161" s="65">
        <f t="shared" si="80"/>
        <v>0</v>
      </c>
      <c r="H161" s="65">
        <f t="shared" si="80"/>
        <v>0</v>
      </c>
      <c r="I161" s="65">
        <f t="shared" si="80"/>
        <v>0</v>
      </c>
      <c r="J161" s="65">
        <f t="shared" si="80"/>
        <v>0</v>
      </c>
      <c r="K161" s="65">
        <f t="shared" si="80"/>
        <v>0</v>
      </c>
      <c r="L161" s="65">
        <f t="shared" si="80"/>
        <v>0</v>
      </c>
      <c r="M161" s="65">
        <f t="shared" si="80"/>
        <v>0</v>
      </c>
      <c r="N161" s="65">
        <f t="shared" si="80"/>
        <v>0</v>
      </c>
      <c r="O161" s="65">
        <f t="shared" si="80"/>
        <v>0</v>
      </c>
      <c r="P161" s="65">
        <f t="shared" si="80"/>
        <v>0</v>
      </c>
      <c r="Q161" s="65">
        <f t="shared" si="80"/>
        <v>0</v>
      </c>
      <c r="R161" s="58">
        <f t="shared" si="82"/>
        <v>0</v>
      </c>
      <c r="S161" s="58">
        <f t="shared" si="83"/>
        <v>0</v>
      </c>
      <c r="T161" s="106" t="s">
        <v>140</v>
      </c>
      <c r="U161" s="9"/>
    </row>
    <row r="162" spans="2:21">
      <c r="B162" s="34" t="str">
        <f>'3) Pre-Opening Budget'!B131</f>
        <v>Health Services</v>
      </c>
      <c r="C162" s="89"/>
      <c r="E162" s="82">
        <f>'3) Pre-Opening Budget'!E131</f>
        <v>0</v>
      </c>
      <c r="F162" s="65">
        <f t="shared" si="81"/>
        <v>0</v>
      </c>
      <c r="G162" s="65">
        <f t="shared" si="80"/>
        <v>0</v>
      </c>
      <c r="H162" s="65">
        <f t="shared" si="80"/>
        <v>0</v>
      </c>
      <c r="I162" s="65">
        <f t="shared" si="80"/>
        <v>0</v>
      </c>
      <c r="J162" s="65">
        <f t="shared" si="80"/>
        <v>0</v>
      </c>
      <c r="K162" s="65">
        <f t="shared" si="80"/>
        <v>0</v>
      </c>
      <c r="L162" s="65">
        <f t="shared" si="80"/>
        <v>0</v>
      </c>
      <c r="M162" s="65">
        <f t="shared" si="80"/>
        <v>0</v>
      </c>
      <c r="N162" s="65">
        <f t="shared" si="80"/>
        <v>0</v>
      </c>
      <c r="O162" s="65">
        <f t="shared" ref="G162:Q169" si="84">$E162/12</f>
        <v>0</v>
      </c>
      <c r="P162" s="65">
        <f t="shared" si="84"/>
        <v>0</v>
      </c>
      <c r="Q162" s="65">
        <f t="shared" si="84"/>
        <v>0</v>
      </c>
      <c r="R162" s="58">
        <f t="shared" si="82"/>
        <v>0</v>
      </c>
      <c r="S162" s="58">
        <f t="shared" si="83"/>
        <v>0</v>
      </c>
      <c r="T162" s="106" t="s">
        <v>141</v>
      </c>
      <c r="U162" s="9"/>
    </row>
    <row r="163" spans="2:21">
      <c r="B163" s="34" t="str">
        <f>'3) Pre-Opening Budget'!B132</f>
        <v>Transportation</v>
      </c>
      <c r="C163" s="89"/>
      <c r="E163" s="82">
        <f>'3) Pre-Opening Budget'!E132</f>
        <v>0</v>
      </c>
      <c r="F163" s="65">
        <f t="shared" si="81"/>
        <v>0</v>
      </c>
      <c r="G163" s="65">
        <f t="shared" si="84"/>
        <v>0</v>
      </c>
      <c r="H163" s="65">
        <f t="shared" si="84"/>
        <v>0</v>
      </c>
      <c r="I163" s="65">
        <f t="shared" si="84"/>
        <v>0</v>
      </c>
      <c r="J163" s="65">
        <f t="shared" si="84"/>
        <v>0</v>
      </c>
      <c r="K163" s="65">
        <f t="shared" si="84"/>
        <v>0</v>
      </c>
      <c r="L163" s="65">
        <f t="shared" si="84"/>
        <v>0</v>
      </c>
      <c r="M163" s="65">
        <f t="shared" si="84"/>
        <v>0</v>
      </c>
      <c r="N163" s="65">
        <f t="shared" si="84"/>
        <v>0</v>
      </c>
      <c r="O163" s="65">
        <f t="shared" si="84"/>
        <v>0</v>
      </c>
      <c r="P163" s="65">
        <f t="shared" si="84"/>
        <v>0</v>
      </c>
      <c r="Q163" s="65">
        <f t="shared" si="84"/>
        <v>0</v>
      </c>
      <c r="R163" s="58">
        <f t="shared" si="82"/>
        <v>0</v>
      </c>
      <c r="S163" s="58">
        <f t="shared" si="83"/>
        <v>0</v>
      </c>
      <c r="T163" s="106" t="s">
        <v>142</v>
      </c>
      <c r="U163" s="9"/>
    </row>
    <row r="164" spans="2:21">
      <c r="B164" s="34" t="str">
        <f>'3) Pre-Opening Budget'!B133</f>
        <v>IT Services</v>
      </c>
      <c r="C164" s="89"/>
      <c r="E164" s="82">
        <f>'3) Pre-Opening Budget'!E133</f>
        <v>6362</v>
      </c>
      <c r="F164" s="65">
        <f t="shared" si="81"/>
        <v>530.16666666666663</v>
      </c>
      <c r="G164" s="65">
        <f t="shared" si="84"/>
        <v>530.16666666666663</v>
      </c>
      <c r="H164" s="65">
        <f t="shared" si="84"/>
        <v>530.16666666666663</v>
      </c>
      <c r="I164" s="65">
        <f t="shared" si="84"/>
        <v>530.16666666666663</v>
      </c>
      <c r="J164" s="65">
        <f t="shared" si="84"/>
        <v>530.16666666666663</v>
      </c>
      <c r="K164" s="65">
        <f t="shared" si="84"/>
        <v>530.16666666666663</v>
      </c>
      <c r="L164" s="65">
        <f t="shared" si="84"/>
        <v>530.16666666666663</v>
      </c>
      <c r="M164" s="65">
        <f t="shared" si="84"/>
        <v>530.16666666666663</v>
      </c>
      <c r="N164" s="65">
        <f t="shared" si="84"/>
        <v>530.16666666666663</v>
      </c>
      <c r="O164" s="65">
        <f t="shared" si="84"/>
        <v>530.16666666666663</v>
      </c>
      <c r="P164" s="65">
        <f t="shared" si="84"/>
        <v>530.16666666666663</v>
      </c>
      <c r="Q164" s="65">
        <f t="shared" si="84"/>
        <v>530.16666666666663</v>
      </c>
      <c r="R164" s="58">
        <f>SUM(F164:Q164)</f>
        <v>6362.0000000000009</v>
      </c>
      <c r="S164" s="58">
        <f>E164-R164</f>
        <v>0</v>
      </c>
      <c r="T164" s="106" t="s">
        <v>143</v>
      </c>
      <c r="U164" s="9"/>
    </row>
    <row r="165" spans="2:21">
      <c r="B165" s="34" t="str">
        <f>'3) Pre-Opening Budget'!B134</f>
        <v>Contracted SPED Services</v>
      </c>
      <c r="C165" s="89"/>
      <c r="E165" s="82">
        <f>'3) Pre-Opening Budget'!E134</f>
        <v>0</v>
      </c>
      <c r="F165" s="65">
        <f t="shared" si="81"/>
        <v>0</v>
      </c>
      <c r="G165" s="65">
        <f t="shared" si="84"/>
        <v>0</v>
      </c>
      <c r="H165" s="65">
        <f t="shared" si="84"/>
        <v>0</v>
      </c>
      <c r="I165" s="65">
        <f t="shared" si="84"/>
        <v>0</v>
      </c>
      <c r="J165" s="65">
        <f t="shared" si="84"/>
        <v>0</v>
      </c>
      <c r="K165" s="65">
        <f t="shared" si="84"/>
        <v>0</v>
      </c>
      <c r="L165" s="65">
        <f t="shared" si="84"/>
        <v>0</v>
      </c>
      <c r="M165" s="65">
        <f t="shared" si="84"/>
        <v>0</v>
      </c>
      <c r="N165" s="65">
        <f t="shared" si="84"/>
        <v>0</v>
      </c>
      <c r="O165" s="65">
        <f t="shared" si="84"/>
        <v>0</v>
      </c>
      <c r="P165" s="65">
        <f t="shared" si="84"/>
        <v>0</v>
      </c>
      <c r="Q165" s="65">
        <f t="shared" si="84"/>
        <v>0</v>
      </c>
      <c r="R165" s="58">
        <f>SUM(F165:Q165)</f>
        <v>0</v>
      </c>
      <c r="S165" s="58">
        <f>E165-R165</f>
        <v>0</v>
      </c>
      <c r="T165" s="106" t="s">
        <v>144</v>
      </c>
      <c r="U165" s="9"/>
    </row>
    <row r="166" spans="2:21">
      <c r="B166" s="34" t="str">
        <f>'3) Pre-Opening Budget'!B135</f>
        <v>Insurance</v>
      </c>
      <c r="C166" s="89"/>
      <c r="E166" s="82">
        <f>'3) Pre-Opening Budget'!E135</f>
        <v>0</v>
      </c>
      <c r="F166" s="65">
        <f t="shared" si="81"/>
        <v>0</v>
      </c>
      <c r="G166" s="65">
        <f t="shared" si="84"/>
        <v>0</v>
      </c>
      <c r="H166" s="65">
        <f t="shared" si="84"/>
        <v>0</v>
      </c>
      <c r="I166" s="65">
        <f t="shared" si="84"/>
        <v>0</v>
      </c>
      <c r="J166" s="65">
        <f t="shared" si="84"/>
        <v>0</v>
      </c>
      <c r="K166" s="65">
        <f t="shared" si="84"/>
        <v>0</v>
      </c>
      <c r="L166" s="65">
        <f t="shared" si="84"/>
        <v>0</v>
      </c>
      <c r="M166" s="65">
        <f t="shared" si="84"/>
        <v>0</v>
      </c>
      <c r="N166" s="65">
        <f t="shared" si="84"/>
        <v>0</v>
      </c>
      <c r="O166" s="65">
        <f t="shared" si="84"/>
        <v>0</v>
      </c>
      <c r="P166" s="65">
        <f t="shared" si="84"/>
        <v>0</v>
      </c>
      <c r="Q166" s="65">
        <f t="shared" si="84"/>
        <v>0</v>
      </c>
      <c r="R166" s="58">
        <f>SUM(F166:Q166)</f>
        <v>0</v>
      </c>
      <c r="S166" s="58">
        <f>E166-R166</f>
        <v>0</v>
      </c>
      <c r="T166" s="106" t="s">
        <v>145</v>
      </c>
      <c r="U166" s="9"/>
    </row>
    <row r="167" spans="2:21">
      <c r="B167" s="34" t="str">
        <f>'3) Pre-Opening Budget'!B136</f>
        <v>Postal Charges</v>
      </c>
      <c r="C167" s="89"/>
      <c r="E167" s="82">
        <f>'3) Pre-Opening Budget'!E136</f>
        <v>1261</v>
      </c>
      <c r="F167" s="65">
        <f t="shared" si="81"/>
        <v>105.08333333333333</v>
      </c>
      <c r="G167" s="65">
        <f t="shared" si="84"/>
        <v>105.08333333333333</v>
      </c>
      <c r="H167" s="65">
        <f t="shared" si="84"/>
        <v>105.08333333333333</v>
      </c>
      <c r="I167" s="65">
        <f t="shared" si="84"/>
        <v>105.08333333333333</v>
      </c>
      <c r="J167" s="65">
        <f t="shared" si="84"/>
        <v>105.08333333333333</v>
      </c>
      <c r="K167" s="65">
        <f t="shared" si="84"/>
        <v>105.08333333333333</v>
      </c>
      <c r="L167" s="65">
        <f t="shared" si="84"/>
        <v>105.08333333333333</v>
      </c>
      <c r="M167" s="65">
        <f t="shared" si="84"/>
        <v>105.08333333333333</v>
      </c>
      <c r="N167" s="65">
        <f t="shared" si="84"/>
        <v>105.08333333333333</v>
      </c>
      <c r="O167" s="65">
        <f t="shared" si="84"/>
        <v>105.08333333333333</v>
      </c>
      <c r="P167" s="65">
        <f t="shared" si="84"/>
        <v>105.08333333333333</v>
      </c>
      <c r="Q167" s="65">
        <f t="shared" si="84"/>
        <v>105.08333333333333</v>
      </c>
      <c r="R167" s="58">
        <f t="shared" ref="R167:R169" si="85">SUM(F167:Q167)</f>
        <v>1261</v>
      </c>
      <c r="S167" s="58">
        <f t="shared" ref="S167:S169" si="86">E167-R167</f>
        <v>0</v>
      </c>
      <c r="T167" s="106" t="s">
        <v>146</v>
      </c>
      <c r="U167" s="9"/>
    </row>
    <row r="168" spans="2:21">
      <c r="B168" s="34" t="s">
        <v>369</v>
      </c>
      <c r="C168" s="89"/>
      <c r="E168" s="82">
        <v>40000</v>
      </c>
      <c r="F168" s="65">
        <f t="shared" si="81"/>
        <v>3333.3333333333335</v>
      </c>
      <c r="G168" s="65">
        <f t="shared" si="84"/>
        <v>3333.3333333333335</v>
      </c>
      <c r="H168" s="65">
        <f t="shared" si="84"/>
        <v>3333.3333333333335</v>
      </c>
      <c r="I168" s="65">
        <f t="shared" si="84"/>
        <v>3333.3333333333335</v>
      </c>
      <c r="J168" s="65">
        <f t="shared" si="84"/>
        <v>3333.3333333333335</v>
      </c>
      <c r="K168" s="65">
        <f t="shared" si="84"/>
        <v>3333.3333333333335</v>
      </c>
      <c r="L168" s="65">
        <f t="shared" si="84"/>
        <v>3333.3333333333335</v>
      </c>
      <c r="M168" s="65">
        <f t="shared" si="84"/>
        <v>3333.3333333333335</v>
      </c>
      <c r="N168" s="65">
        <f t="shared" si="84"/>
        <v>3333.3333333333335</v>
      </c>
      <c r="O168" s="65">
        <f t="shared" si="84"/>
        <v>3333.3333333333335</v>
      </c>
      <c r="P168" s="65">
        <f t="shared" si="84"/>
        <v>3333.3333333333335</v>
      </c>
      <c r="Q168" s="65">
        <f t="shared" si="84"/>
        <v>3333.3333333333335</v>
      </c>
      <c r="R168" s="58">
        <f t="shared" si="85"/>
        <v>40000</v>
      </c>
      <c r="S168" s="58"/>
      <c r="T168" s="106"/>
      <c r="U168" s="9"/>
    </row>
    <row r="169" spans="2:21">
      <c r="B169" s="34" t="str">
        <f>'3) Pre-Opening Budget'!B138</f>
        <v>Grant Writer</v>
      </c>
      <c r="C169" s="89"/>
      <c r="E169" s="82">
        <v>48888</v>
      </c>
      <c r="F169" s="65">
        <f t="shared" si="81"/>
        <v>4074</v>
      </c>
      <c r="G169" s="65">
        <f t="shared" si="84"/>
        <v>4074</v>
      </c>
      <c r="H169" s="65">
        <f t="shared" si="84"/>
        <v>4074</v>
      </c>
      <c r="I169" s="65">
        <f t="shared" si="84"/>
        <v>4074</v>
      </c>
      <c r="J169" s="65">
        <f t="shared" si="84"/>
        <v>4074</v>
      </c>
      <c r="K169" s="65">
        <f t="shared" si="84"/>
        <v>4074</v>
      </c>
      <c r="L169" s="65">
        <f t="shared" si="84"/>
        <v>4074</v>
      </c>
      <c r="M169" s="65">
        <f t="shared" si="84"/>
        <v>4074</v>
      </c>
      <c r="N169" s="65">
        <f t="shared" si="84"/>
        <v>4074</v>
      </c>
      <c r="O169" s="65">
        <f t="shared" si="84"/>
        <v>4074</v>
      </c>
      <c r="P169" s="65">
        <f t="shared" si="84"/>
        <v>4074</v>
      </c>
      <c r="Q169" s="65">
        <f t="shared" si="84"/>
        <v>4074</v>
      </c>
      <c r="R169" s="58">
        <f t="shared" si="85"/>
        <v>48888</v>
      </c>
      <c r="S169" s="58">
        <f t="shared" si="86"/>
        <v>0</v>
      </c>
      <c r="T169" s="106" t="s">
        <v>147</v>
      </c>
      <c r="U169" s="9"/>
    </row>
    <row r="170" spans="2:21">
      <c r="B170" s="29"/>
      <c r="C170" s="42"/>
      <c r="D170" s="42"/>
      <c r="E170" s="55"/>
      <c r="F170" s="55"/>
      <c r="G170" s="55"/>
      <c r="H170" s="55"/>
      <c r="I170" s="55"/>
      <c r="J170" s="55"/>
      <c r="K170" s="55"/>
      <c r="L170" s="55"/>
      <c r="M170" s="55"/>
      <c r="N170" s="55"/>
      <c r="O170" s="55"/>
      <c r="P170" s="55"/>
      <c r="Q170" s="55"/>
      <c r="R170" s="55"/>
      <c r="S170" s="55"/>
      <c r="T170" s="55"/>
      <c r="U170" s="9"/>
    </row>
    <row r="171" spans="2:21">
      <c r="B171" s="29" t="s">
        <v>148</v>
      </c>
      <c r="C171" s="42"/>
      <c r="D171" s="42"/>
      <c r="E171" s="55"/>
      <c r="F171" s="55"/>
      <c r="G171" s="55"/>
      <c r="H171" s="55"/>
      <c r="I171" s="55"/>
      <c r="J171" s="55"/>
      <c r="K171" s="55"/>
      <c r="L171" s="55"/>
      <c r="M171" s="55"/>
      <c r="N171" s="55"/>
      <c r="O171" s="55"/>
      <c r="P171" s="55"/>
      <c r="Q171" s="55"/>
      <c r="R171" s="55"/>
      <c r="S171" s="55"/>
      <c r="T171" s="55"/>
      <c r="U171" s="9"/>
    </row>
    <row r="172" spans="2:21">
      <c r="B172" s="34" t="str">
        <f>'3) Pre-Opening Budget'!B141</f>
        <v>Textbooks and Instructional Supplies</v>
      </c>
      <c r="C172" s="89"/>
      <c r="E172" s="82">
        <f>'3) Pre-Opening Budget'!E141</f>
        <v>0</v>
      </c>
      <c r="F172" s="65">
        <f>$E172/12</f>
        <v>0</v>
      </c>
      <c r="G172" s="65">
        <f t="shared" ref="G172:Q186" si="87">$E172/12</f>
        <v>0</v>
      </c>
      <c r="H172" s="65">
        <f t="shared" si="87"/>
        <v>0</v>
      </c>
      <c r="I172" s="65">
        <f t="shared" si="87"/>
        <v>0</v>
      </c>
      <c r="J172" s="65">
        <f t="shared" si="87"/>
        <v>0</v>
      </c>
      <c r="K172" s="65">
        <f t="shared" si="87"/>
        <v>0</v>
      </c>
      <c r="L172" s="65">
        <f t="shared" si="87"/>
        <v>0</v>
      </c>
      <c r="M172" s="65">
        <f t="shared" si="87"/>
        <v>0</v>
      </c>
      <c r="N172" s="65">
        <f t="shared" si="87"/>
        <v>0</v>
      </c>
      <c r="O172" s="65">
        <f t="shared" si="87"/>
        <v>0</v>
      </c>
      <c r="P172" s="65">
        <f t="shared" si="87"/>
        <v>0</v>
      </c>
      <c r="Q172" s="65">
        <f t="shared" si="87"/>
        <v>0</v>
      </c>
      <c r="R172" s="58">
        <f>SUM(F172:Q172)</f>
        <v>0</v>
      </c>
      <c r="S172" s="58">
        <f>E172-R172</f>
        <v>0</v>
      </c>
      <c r="T172" s="106" t="s">
        <v>149</v>
      </c>
      <c r="U172" s="9"/>
    </row>
    <row r="173" spans="2:21">
      <c r="B173" s="34" t="str">
        <f>'3) Pre-Opening Budget'!B142</f>
        <v>Education Software</v>
      </c>
      <c r="C173" s="89"/>
      <c r="E173" s="82">
        <f>'3) Pre-Opening Budget'!E142</f>
        <v>0</v>
      </c>
      <c r="F173" s="65">
        <f t="shared" ref="F173:F186" si="88">$E173/12</f>
        <v>0</v>
      </c>
      <c r="G173" s="65">
        <f t="shared" si="87"/>
        <v>0</v>
      </c>
      <c r="H173" s="65">
        <f t="shared" si="87"/>
        <v>0</v>
      </c>
      <c r="I173" s="65">
        <f t="shared" si="87"/>
        <v>0</v>
      </c>
      <c r="J173" s="65">
        <f t="shared" si="87"/>
        <v>0</v>
      </c>
      <c r="K173" s="65">
        <f t="shared" si="87"/>
        <v>0</v>
      </c>
      <c r="L173" s="65">
        <f t="shared" si="87"/>
        <v>0</v>
      </c>
      <c r="M173" s="65">
        <f t="shared" si="87"/>
        <v>0</v>
      </c>
      <c r="N173" s="65">
        <f t="shared" si="87"/>
        <v>0</v>
      </c>
      <c r="O173" s="65">
        <f t="shared" si="87"/>
        <v>0</v>
      </c>
      <c r="P173" s="65">
        <f t="shared" si="87"/>
        <v>0</v>
      </c>
      <c r="Q173" s="65">
        <f t="shared" si="87"/>
        <v>0</v>
      </c>
      <c r="R173" s="58">
        <f>SUM(F173:Q173)</f>
        <v>0</v>
      </c>
      <c r="S173" s="58">
        <f>E173-R173</f>
        <v>0</v>
      </c>
      <c r="T173" s="106" t="s">
        <v>150</v>
      </c>
      <c r="U173" s="9"/>
    </row>
    <row r="174" spans="2:21">
      <c r="B174" s="34" t="str">
        <f>'3) Pre-Opening Budget'!B143</f>
        <v>Student Supplies</v>
      </c>
      <c r="C174" s="89"/>
      <c r="E174" s="82">
        <f>'3) Pre-Opening Budget'!E143</f>
        <v>0</v>
      </c>
      <c r="F174" s="65">
        <f t="shared" si="88"/>
        <v>0</v>
      </c>
      <c r="G174" s="65">
        <f t="shared" si="87"/>
        <v>0</v>
      </c>
      <c r="H174" s="65">
        <f t="shared" si="87"/>
        <v>0</v>
      </c>
      <c r="I174" s="65">
        <f t="shared" si="87"/>
        <v>0</v>
      </c>
      <c r="J174" s="65">
        <f t="shared" si="87"/>
        <v>0</v>
      </c>
      <c r="K174" s="65">
        <f t="shared" si="87"/>
        <v>0</v>
      </c>
      <c r="L174" s="65">
        <f t="shared" si="87"/>
        <v>0</v>
      </c>
      <c r="M174" s="65">
        <f t="shared" si="87"/>
        <v>0</v>
      </c>
      <c r="N174" s="65">
        <f t="shared" si="87"/>
        <v>0</v>
      </c>
      <c r="O174" s="65">
        <f t="shared" si="87"/>
        <v>0</v>
      </c>
      <c r="P174" s="65">
        <f t="shared" si="87"/>
        <v>0</v>
      </c>
      <c r="Q174" s="65">
        <f t="shared" si="87"/>
        <v>0</v>
      </c>
      <c r="R174" s="58">
        <f>SUM(F174:Q174)</f>
        <v>0</v>
      </c>
      <c r="S174" s="58">
        <f>E174-R174</f>
        <v>0</v>
      </c>
      <c r="T174" s="106" t="s">
        <v>151</v>
      </c>
      <c r="U174" s="9"/>
    </row>
    <row r="175" spans="2:21">
      <c r="B175" s="34" t="str">
        <f>'3) Pre-Opening Budget'!B144</f>
        <v>Faculty Supplies</v>
      </c>
      <c r="C175" s="89"/>
      <c r="E175" s="82">
        <f>'3) Pre-Opening Budget'!E144</f>
        <v>3000</v>
      </c>
      <c r="F175" s="65">
        <f t="shared" si="88"/>
        <v>250</v>
      </c>
      <c r="G175" s="65">
        <f t="shared" si="87"/>
        <v>250</v>
      </c>
      <c r="H175" s="65">
        <f t="shared" si="87"/>
        <v>250</v>
      </c>
      <c r="I175" s="65">
        <f t="shared" si="87"/>
        <v>250</v>
      </c>
      <c r="J175" s="65">
        <f t="shared" si="87"/>
        <v>250</v>
      </c>
      <c r="K175" s="65">
        <f t="shared" si="87"/>
        <v>250</v>
      </c>
      <c r="L175" s="65">
        <f t="shared" si="87"/>
        <v>250</v>
      </c>
      <c r="M175" s="65">
        <f t="shared" si="87"/>
        <v>250</v>
      </c>
      <c r="N175" s="65">
        <f t="shared" si="87"/>
        <v>250</v>
      </c>
      <c r="O175" s="65">
        <f t="shared" si="87"/>
        <v>250</v>
      </c>
      <c r="P175" s="65">
        <f t="shared" si="87"/>
        <v>250</v>
      </c>
      <c r="Q175" s="65">
        <f t="shared" si="87"/>
        <v>250</v>
      </c>
      <c r="R175" s="58">
        <f t="shared" ref="R175:R181" si="89">SUM(F175:Q175)</f>
        <v>3000</v>
      </c>
      <c r="S175" s="58">
        <f t="shared" ref="S175:S181" si="90">E175-R175</f>
        <v>0</v>
      </c>
      <c r="T175" s="106" t="s">
        <v>152</v>
      </c>
      <c r="U175" s="9"/>
    </row>
    <row r="176" spans="2:21">
      <c r="B176" s="34" t="str">
        <f>'3) Pre-Opening Budget'!B145</f>
        <v>Library Books</v>
      </c>
      <c r="C176" s="89"/>
      <c r="E176" s="82">
        <f>'3) Pre-Opening Budget'!E145</f>
        <v>0</v>
      </c>
      <c r="F176" s="65">
        <f t="shared" si="88"/>
        <v>0</v>
      </c>
      <c r="G176" s="65">
        <f t="shared" si="87"/>
        <v>0</v>
      </c>
      <c r="H176" s="65">
        <f t="shared" si="87"/>
        <v>0</v>
      </c>
      <c r="I176" s="65">
        <f t="shared" si="87"/>
        <v>0</v>
      </c>
      <c r="J176" s="65">
        <f t="shared" si="87"/>
        <v>0</v>
      </c>
      <c r="K176" s="65">
        <f t="shared" si="87"/>
        <v>0</v>
      </c>
      <c r="L176" s="65">
        <f t="shared" si="87"/>
        <v>0</v>
      </c>
      <c r="M176" s="65">
        <f t="shared" si="87"/>
        <v>0</v>
      </c>
      <c r="N176" s="65">
        <f t="shared" si="87"/>
        <v>0</v>
      </c>
      <c r="O176" s="65">
        <f t="shared" si="87"/>
        <v>0</v>
      </c>
      <c r="P176" s="65">
        <f t="shared" si="87"/>
        <v>0</v>
      </c>
      <c r="Q176" s="65">
        <f t="shared" si="87"/>
        <v>0</v>
      </c>
      <c r="R176" s="58">
        <f t="shared" si="89"/>
        <v>0</v>
      </c>
      <c r="S176" s="58">
        <f t="shared" si="90"/>
        <v>0</v>
      </c>
      <c r="T176" s="106" t="s">
        <v>153</v>
      </c>
      <c r="U176" s="9"/>
    </row>
    <row r="177" spans="2:21">
      <c r="B177" s="34" t="str">
        <f>'3) Pre-Opening Budget'!B146</f>
        <v>Testing &amp; Evaluation</v>
      </c>
      <c r="C177" s="89"/>
      <c r="E177" s="82">
        <f>'3) Pre-Opening Budget'!E146</f>
        <v>0</v>
      </c>
      <c r="F177" s="65">
        <f t="shared" si="88"/>
        <v>0</v>
      </c>
      <c r="G177" s="65">
        <f t="shared" si="87"/>
        <v>0</v>
      </c>
      <c r="H177" s="65">
        <f t="shared" si="87"/>
        <v>0</v>
      </c>
      <c r="I177" s="65">
        <f t="shared" si="87"/>
        <v>0</v>
      </c>
      <c r="J177" s="65">
        <f t="shared" si="87"/>
        <v>0</v>
      </c>
      <c r="K177" s="65">
        <f t="shared" si="87"/>
        <v>0</v>
      </c>
      <c r="L177" s="65">
        <f t="shared" si="87"/>
        <v>0</v>
      </c>
      <c r="M177" s="65">
        <f t="shared" si="87"/>
        <v>0</v>
      </c>
      <c r="N177" s="65">
        <f t="shared" si="87"/>
        <v>0</v>
      </c>
      <c r="O177" s="65">
        <f t="shared" si="87"/>
        <v>0</v>
      </c>
      <c r="P177" s="65">
        <f t="shared" si="87"/>
        <v>0</v>
      </c>
      <c r="Q177" s="65">
        <f t="shared" si="87"/>
        <v>0</v>
      </c>
      <c r="R177" s="58">
        <f t="shared" si="89"/>
        <v>0</v>
      </c>
      <c r="S177" s="58">
        <f t="shared" si="90"/>
        <v>0</v>
      </c>
      <c r="T177" s="106" t="s">
        <v>154</v>
      </c>
      <c r="U177" s="9"/>
    </row>
    <row r="178" spans="2:21">
      <c r="B178" s="34" t="str">
        <f>'3) Pre-Opening Budget'!B147</f>
        <v>Student Laptops</v>
      </c>
      <c r="C178" s="89"/>
      <c r="E178" s="82">
        <f>'3) Pre-Opening Budget'!E147</f>
        <v>0</v>
      </c>
      <c r="F178" s="65">
        <f t="shared" si="88"/>
        <v>0</v>
      </c>
      <c r="G178" s="65">
        <f t="shared" si="87"/>
        <v>0</v>
      </c>
      <c r="H178" s="65">
        <f t="shared" si="87"/>
        <v>0</v>
      </c>
      <c r="I178" s="65">
        <f t="shared" si="87"/>
        <v>0</v>
      </c>
      <c r="J178" s="65">
        <f t="shared" si="87"/>
        <v>0</v>
      </c>
      <c r="K178" s="65">
        <f t="shared" si="87"/>
        <v>0</v>
      </c>
      <c r="L178" s="65">
        <f t="shared" si="87"/>
        <v>0</v>
      </c>
      <c r="M178" s="65">
        <f t="shared" si="87"/>
        <v>0</v>
      </c>
      <c r="N178" s="65">
        <f t="shared" si="87"/>
        <v>0</v>
      </c>
      <c r="O178" s="65">
        <f t="shared" si="87"/>
        <v>0</v>
      </c>
      <c r="P178" s="65">
        <f t="shared" si="87"/>
        <v>0</v>
      </c>
      <c r="Q178" s="65">
        <f t="shared" si="87"/>
        <v>0</v>
      </c>
      <c r="R178" s="58">
        <f t="shared" si="89"/>
        <v>0</v>
      </c>
      <c r="S178" s="58">
        <f t="shared" si="90"/>
        <v>0</v>
      </c>
      <c r="T178" s="106" t="s">
        <v>155</v>
      </c>
      <c r="U178" s="9"/>
    </row>
    <row r="179" spans="2:21">
      <c r="B179" s="34" t="str">
        <f>'3) Pre-Opening Budget'!B148</f>
        <v>Faculty Laptops</v>
      </c>
      <c r="C179" s="89"/>
      <c r="E179" s="82">
        <f>'3) Pre-Opening Budget'!E148</f>
        <v>4500</v>
      </c>
      <c r="F179" s="65">
        <f t="shared" si="88"/>
        <v>375</v>
      </c>
      <c r="G179" s="65">
        <f t="shared" si="87"/>
        <v>375</v>
      </c>
      <c r="H179" s="65">
        <f t="shared" si="87"/>
        <v>375</v>
      </c>
      <c r="I179" s="65">
        <f t="shared" si="87"/>
        <v>375</v>
      </c>
      <c r="J179" s="65">
        <f t="shared" si="87"/>
        <v>375</v>
      </c>
      <c r="K179" s="65">
        <f t="shared" si="87"/>
        <v>375</v>
      </c>
      <c r="L179" s="65">
        <f t="shared" si="87"/>
        <v>375</v>
      </c>
      <c r="M179" s="65">
        <f t="shared" si="87"/>
        <v>375</v>
      </c>
      <c r="N179" s="65">
        <f t="shared" si="87"/>
        <v>375</v>
      </c>
      <c r="O179" s="65">
        <f t="shared" si="87"/>
        <v>375</v>
      </c>
      <c r="P179" s="65">
        <f t="shared" si="87"/>
        <v>375</v>
      </c>
      <c r="Q179" s="65">
        <f t="shared" si="87"/>
        <v>375</v>
      </c>
      <c r="R179" s="58">
        <f t="shared" si="89"/>
        <v>4500</v>
      </c>
      <c r="S179" s="58">
        <f t="shared" si="90"/>
        <v>0</v>
      </c>
      <c r="T179" s="106" t="s">
        <v>156</v>
      </c>
      <c r="U179" s="9"/>
    </row>
    <row r="180" spans="2:21">
      <c r="B180" s="34" t="str">
        <f>'3) Pre-Opening Budget'!B149</f>
        <v>Office Supplies</v>
      </c>
      <c r="C180" s="89"/>
      <c r="E180" s="82">
        <f>'3) Pre-Opening Budget'!E149</f>
        <v>1800</v>
      </c>
      <c r="F180" s="65">
        <f t="shared" si="88"/>
        <v>150</v>
      </c>
      <c r="G180" s="65">
        <f t="shared" si="87"/>
        <v>150</v>
      </c>
      <c r="H180" s="65">
        <f t="shared" si="87"/>
        <v>150</v>
      </c>
      <c r="I180" s="65">
        <f t="shared" si="87"/>
        <v>150</v>
      </c>
      <c r="J180" s="65">
        <f t="shared" si="87"/>
        <v>150</v>
      </c>
      <c r="K180" s="65">
        <f t="shared" si="87"/>
        <v>150</v>
      </c>
      <c r="L180" s="65">
        <f t="shared" si="87"/>
        <v>150</v>
      </c>
      <c r="M180" s="65">
        <f t="shared" si="87"/>
        <v>150</v>
      </c>
      <c r="N180" s="65">
        <f t="shared" si="87"/>
        <v>150</v>
      </c>
      <c r="O180" s="65">
        <f t="shared" si="87"/>
        <v>150</v>
      </c>
      <c r="P180" s="65">
        <f t="shared" si="87"/>
        <v>150</v>
      </c>
      <c r="Q180" s="65">
        <f t="shared" si="87"/>
        <v>150</v>
      </c>
      <c r="R180" s="58">
        <f t="shared" si="89"/>
        <v>1800</v>
      </c>
      <c r="S180" s="58">
        <f t="shared" si="90"/>
        <v>0</v>
      </c>
      <c r="T180" s="106" t="s">
        <v>157</v>
      </c>
      <c r="U180" s="9"/>
    </row>
    <row r="181" spans="2:21">
      <c r="B181" s="34" t="str">
        <f>'3) Pre-Opening Budget'!B150</f>
        <v>Printing Paper</v>
      </c>
      <c r="C181" s="89"/>
      <c r="E181" s="82">
        <f>'3) Pre-Opening Budget'!E150</f>
        <v>0</v>
      </c>
      <c r="F181" s="65">
        <f t="shared" si="88"/>
        <v>0</v>
      </c>
      <c r="G181" s="65">
        <f t="shared" si="87"/>
        <v>0</v>
      </c>
      <c r="H181" s="65">
        <f t="shared" si="87"/>
        <v>0</v>
      </c>
      <c r="I181" s="65">
        <f t="shared" si="87"/>
        <v>0</v>
      </c>
      <c r="J181" s="65">
        <f t="shared" si="87"/>
        <v>0</v>
      </c>
      <c r="K181" s="65">
        <f t="shared" si="87"/>
        <v>0</v>
      </c>
      <c r="L181" s="65">
        <f t="shared" si="87"/>
        <v>0</v>
      </c>
      <c r="M181" s="65">
        <f t="shared" si="87"/>
        <v>0</v>
      </c>
      <c r="N181" s="65">
        <f t="shared" si="87"/>
        <v>0</v>
      </c>
      <c r="O181" s="65">
        <f t="shared" si="87"/>
        <v>0</v>
      </c>
      <c r="P181" s="65">
        <f t="shared" si="87"/>
        <v>0</v>
      </c>
      <c r="Q181" s="65">
        <f t="shared" si="87"/>
        <v>0</v>
      </c>
      <c r="R181" s="58">
        <f t="shared" si="89"/>
        <v>0</v>
      </c>
      <c r="S181" s="58">
        <f t="shared" si="90"/>
        <v>0</v>
      </c>
      <c r="T181" s="106" t="s">
        <v>158</v>
      </c>
      <c r="U181" s="9"/>
    </row>
    <row r="182" spans="2:21">
      <c r="B182" s="34" t="str">
        <f>'3) Pre-Opening Budget'!B151</f>
        <v>Marketing Materials</v>
      </c>
      <c r="C182" s="89"/>
      <c r="E182" s="82">
        <f>'3) Pre-Opening Budget'!E151</f>
        <v>12320</v>
      </c>
      <c r="F182" s="65">
        <f t="shared" si="88"/>
        <v>1026.6666666666667</v>
      </c>
      <c r="G182" s="65">
        <f t="shared" si="87"/>
        <v>1026.6666666666667</v>
      </c>
      <c r="H182" s="65">
        <f t="shared" si="87"/>
        <v>1026.6666666666667</v>
      </c>
      <c r="I182" s="65">
        <f t="shared" si="87"/>
        <v>1026.6666666666667</v>
      </c>
      <c r="J182" s="65">
        <f t="shared" si="87"/>
        <v>1026.6666666666667</v>
      </c>
      <c r="K182" s="65">
        <f t="shared" si="87"/>
        <v>1026.6666666666667</v>
      </c>
      <c r="L182" s="65">
        <f t="shared" si="87"/>
        <v>1026.6666666666667</v>
      </c>
      <c r="M182" s="65">
        <f t="shared" si="87"/>
        <v>1026.6666666666667</v>
      </c>
      <c r="N182" s="65">
        <f t="shared" si="87"/>
        <v>1026.6666666666667</v>
      </c>
      <c r="O182" s="65">
        <f t="shared" si="87"/>
        <v>1026.6666666666667</v>
      </c>
      <c r="P182" s="65">
        <f t="shared" si="87"/>
        <v>1026.6666666666667</v>
      </c>
      <c r="Q182" s="65">
        <f t="shared" si="87"/>
        <v>1026.6666666666667</v>
      </c>
      <c r="R182" s="58">
        <f>SUM(F182:Q182)</f>
        <v>12319.999999999998</v>
      </c>
      <c r="S182" s="58">
        <f>E182-R182</f>
        <v>0</v>
      </c>
      <c r="T182" s="106" t="s">
        <v>159</v>
      </c>
      <c r="U182" s="9"/>
    </row>
    <row r="183" spans="2:21">
      <c r="B183" s="34" t="str">
        <f>'3) Pre-Opening Budget'!B152</f>
        <v>Student Uniforms</v>
      </c>
      <c r="C183" s="89"/>
      <c r="E183" s="82">
        <f>'3) Pre-Opening Budget'!E152</f>
        <v>0</v>
      </c>
      <c r="F183" s="65">
        <f t="shared" si="88"/>
        <v>0</v>
      </c>
      <c r="G183" s="65">
        <f t="shared" si="87"/>
        <v>0</v>
      </c>
      <c r="H183" s="65">
        <f t="shared" si="87"/>
        <v>0</v>
      </c>
      <c r="I183" s="65">
        <f t="shared" si="87"/>
        <v>0</v>
      </c>
      <c r="J183" s="65">
        <f t="shared" si="87"/>
        <v>0</v>
      </c>
      <c r="K183" s="65">
        <f t="shared" si="87"/>
        <v>0</v>
      </c>
      <c r="L183" s="65">
        <f t="shared" si="87"/>
        <v>0</v>
      </c>
      <c r="M183" s="65">
        <f t="shared" si="87"/>
        <v>0</v>
      </c>
      <c r="N183" s="65">
        <f t="shared" si="87"/>
        <v>0</v>
      </c>
      <c r="O183" s="65">
        <f t="shared" si="87"/>
        <v>0</v>
      </c>
      <c r="P183" s="65">
        <f t="shared" si="87"/>
        <v>0</v>
      </c>
      <c r="Q183" s="65">
        <f t="shared" si="87"/>
        <v>0</v>
      </c>
      <c r="R183" s="58">
        <f>SUM(F183:Q183)</f>
        <v>0</v>
      </c>
      <c r="S183" s="58">
        <f>E183-R183</f>
        <v>0</v>
      </c>
      <c r="T183" s="106" t="s">
        <v>160</v>
      </c>
      <c r="U183" s="9"/>
    </row>
    <row r="184" spans="2:21">
      <c r="B184" s="34" t="str">
        <f>'3) Pre-Opening Budget'!B153</f>
        <v>Gifts &amp; Awards - Students</v>
      </c>
      <c r="C184" s="89"/>
      <c r="E184" s="82">
        <f>'3) Pre-Opening Budget'!E153</f>
        <v>0</v>
      </c>
      <c r="F184" s="65">
        <f t="shared" si="88"/>
        <v>0</v>
      </c>
      <c r="G184" s="65">
        <f t="shared" si="87"/>
        <v>0</v>
      </c>
      <c r="H184" s="65">
        <f t="shared" si="87"/>
        <v>0</v>
      </c>
      <c r="I184" s="65">
        <f t="shared" si="87"/>
        <v>0</v>
      </c>
      <c r="J184" s="65">
        <f t="shared" si="87"/>
        <v>0</v>
      </c>
      <c r="K184" s="65">
        <f t="shared" si="87"/>
        <v>0</v>
      </c>
      <c r="L184" s="65">
        <f t="shared" si="87"/>
        <v>0</v>
      </c>
      <c r="M184" s="65">
        <f t="shared" si="87"/>
        <v>0</v>
      </c>
      <c r="N184" s="65">
        <f t="shared" si="87"/>
        <v>0</v>
      </c>
      <c r="O184" s="65">
        <f t="shared" si="87"/>
        <v>0</v>
      </c>
      <c r="P184" s="65">
        <f t="shared" si="87"/>
        <v>0</v>
      </c>
      <c r="Q184" s="65">
        <f t="shared" si="87"/>
        <v>0</v>
      </c>
      <c r="R184" s="58">
        <f>SUM(F184:Q184)</f>
        <v>0</v>
      </c>
      <c r="S184" s="58">
        <f>E184-R184</f>
        <v>0</v>
      </c>
      <c r="T184" s="106" t="s">
        <v>161</v>
      </c>
      <c r="U184" s="9"/>
    </row>
    <row r="185" spans="2:21">
      <c r="B185" s="34" t="str">
        <f>'3) Pre-Opening Budget'!B154</f>
        <v>Gifts &amp; Awards - Teachers and Staff</v>
      </c>
      <c r="C185" s="89"/>
      <c r="E185" s="82">
        <f>'3) Pre-Opening Budget'!E154</f>
        <v>0</v>
      </c>
      <c r="F185" s="65">
        <f t="shared" si="88"/>
        <v>0</v>
      </c>
      <c r="G185" s="65">
        <f t="shared" si="87"/>
        <v>0</v>
      </c>
      <c r="H185" s="65">
        <f t="shared" si="87"/>
        <v>0</v>
      </c>
      <c r="I185" s="65">
        <f t="shared" si="87"/>
        <v>0</v>
      </c>
      <c r="J185" s="65">
        <f t="shared" si="87"/>
        <v>0</v>
      </c>
      <c r="K185" s="65">
        <f t="shared" si="87"/>
        <v>0</v>
      </c>
      <c r="L185" s="65">
        <f t="shared" si="87"/>
        <v>0</v>
      </c>
      <c r="M185" s="65">
        <f t="shared" si="87"/>
        <v>0</v>
      </c>
      <c r="N185" s="65">
        <f t="shared" si="87"/>
        <v>0</v>
      </c>
      <c r="O185" s="65">
        <f t="shared" si="87"/>
        <v>0</v>
      </c>
      <c r="P185" s="65">
        <f t="shared" si="87"/>
        <v>0</v>
      </c>
      <c r="Q185" s="65">
        <f t="shared" si="87"/>
        <v>0</v>
      </c>
      <c r="R185" s="58">
        <f t="shared" ref="R185:R186" si="91">SUM(F185:Q185)</f>
        <v>0</v>
      </c>
      <c r="S185" s="58">
        <f t="shared" ref="S185:S186" si="92">E185-R185</f>
        <v>0</v>
      </c>
      <c r="T185" s="106" t="s">
        <v>162</v>
      </c>
      <c r="U185" s="9"/>
    </row>
    <row r="186" spans="2:21">
      <c r="B186" s="34" t="str">
        <f>'3) Pre-Opening Budget'!B155</f>
        <v>Health Supplies</v>
      </c>
      <c r="C186" s="89"/>
      <c r="E186" s="82">
        <f>'3) Pre-Opening Budget'!E155</f>
        <v>0</v>
      </c>
      <c r="F186" s="65">
        <f t="shared" si="88"/>
        <v>0</v>
      </c>
      <c r="G186" s="65">
        <f t="shared" si="87"/>
        <v>0</v>
      </c>
      <c r="H186" s="65">
        <f t="shared" si="87"/>
        <v>0</v>
      </c>
      <c r="I186" s="65">
        <f t="shared" si="87"/>
        <v>0</v>
      </c>
      <c r="J186" s="65">
        <f t="shared" si="87"/>
        <v>0</v>
      </c>
      <c r="K186" s="65">
        <f t="shared" si="87"/>
        <v>0</v>
      </c>
      <c r="L186" s="65">
        <f t="shared" si="87"/>
        <v>0</v>
      </c>
      <c r="M186" s="65">
        <f t="shared" si="87"/>
        <v>0</v>
      </c>
      <c r="N186" s="65">
        <f t="shared" si="87"/>
        <v>0</v>
      </c>
      <c r="O186" s="65">
        <f t="shared" si="87"/>
        <v>0</v>
      </c>
      <c r="P186" s="65">
        <f t="shared" si="87"/>
        <v>0</v>
      </c>
      <c r="Q186" s="65">
        <f t="shared" si="87"/>
        <v>0</v>
      </c>
      <c r="R186" s="58">
        <f t="shared" si="91"/>
        <v>0</v>
      </c>
      <c r="S186" s="58">
        <f t="shared" si="92"/>
        <v>0</v>
      </c>
      <c r="T186" s="106" t="s">
        <v>163</v>
      </c>
      <c r="U186" s="9"/>
    </row>
    <row r="187" spans="2:21" ht="15.75" thickBot="1">
      <c r="B187" s="134"/>
      <c r="C187" s="135"/>
      <c r="D187" s="135"/>
      <c r="E187" s="136"/>
      <c r="F187" s="136"/>
      <c r="G187" s="136"/>
      <c r="H187" s="136"/>
      <c r="I187" s="136"/>
      <c r="J187" s="136"/>
      <c r="K187" s="136"/>
      <c r="L187" s="136"/>
      <c r="M187" s="136"/>
      <c r="N187" s="136"/>
      <c r="O187" s="136"/>
      <c r="P187" s="136"/>
      <c r="Q187" s="136"/>
      <c r="R187" s="136"/>
      <c r="S187" s="136"/>
      <c r="T187" s="136"/>
      <c r="U187" s="22"/>
    </row>
    <row r="188" spans="2:21">
      <c r="B188" s="137" t="s">
        <v>164</v>
      </c>
      <c r="C188" s="138"/>
      <c r="D188" s="138"/>
      <c r="E188" s="139"/>
      <c r="F188" s="139"/>
      <c r="G188" s="139"/>
      <c r="H188" s="139"/>
      <c r="I188" s="139"/>
      <c r="J188" s="139"/>
      <c r="K188" s="139"/>
      <c r="L188" s="139"/>
      <c r="M188" s="139"/>
      <c r="N188" s="139"/>
      <c r="O188" s="139"/>
      <c r="P188" s="139"/>
      <c r="Q188" s="139"/>
      <c r="R188" s="139"/>
      <c r="S188" s="139"/>
      <c r="T188" s="139"/>
      <c r="U188" s="7"/>
    </row>
    <row r="189" spans="2:21">
      <c r="B189" s="34" t="str">
        <f>'3) Pre-Opening Budget'!B158</f>
        <v>Rent</v>
      </c>
      <c r="C189" s="89"/>
      <c r="E189" s="82">
        <f>'3) Pre-Opening Budget'!E158</f>
        <v>10000</v>
      </c>
      <c r="F189" s="65">
        <f>$E189/12</f>
        <v>833.33333333333337</v>
      </c>
      <c r="G189" s="65">
        <f t="shared" ref="G189:Q203" si="93">$E189/12</f>
        <v>833.33333333333337</v>
      </c>
      <c r="H189" s="65">
        <f t="shared" si="93"/>
        <v>833.33333333333337</v>
      </c>
      <c r="I189" s="65">
        <f t="shared" si="93"/>
        <v>833.33333333333337</v>
      </c>
      <c r="J189" s="65">
        <f t="shared" si="93"/>
        <v>833.33333333333337</v>
      </c>
      <c r="K189" s="65">
        <f t="shared" si="93"/>
        <v>833.33333333333337</v>
      </c>
      <c r="L189" s="65">
        <f t="shared" si="93"/>
        <v>833.33333333333337</v>
      </c>
      <c r="M189" s="65">
        <f t="shared" si="93"/>
        <v>833.33333333333337</v>
      </c>
      <c r="N189" s="65">
        <f t="shared" si="93"/>
        <v>833.33333333333337</v>
      </c>
      <c r="O189" s="65">
        <f t="shared" si="93"/>
        <v>833.33333333333337</v>
      </c>
      <c r="P189" s="65">
        <f t="shared" si="93"/>
        <v>833.33333333333337</v>
      </c>
      <c r="Q189" s="65">
        <f t="shared" si="93"/>
        <v>833.33333333333337</v>
      </c>
      <c r="R189" s="58">
        <f>SUM(F189:Q189)</f>
        <v>10000</v>
      </c>
      <c r="S189" s="58">
        <f>E189-R189</f>
        <v>0</v>
      </c>
      <c r="T189" s="106" t="s">
        <v>165</v>
      </c>
      <c r="U189" s="9"/>
    </row>
    <row r="190" spans="2:21">
      <c r="B190" s="34" t="str">
        <f>'3) Pre-Opening Budget'!B159</f>
        <v>Utilities</v>
      </c>
      <c r="C190" s="89"/>
      <c r="E190" s="82">
        <f>'3) Pre-Opening Budget'!E159</f>
        <v>0</v>
      </c>
      <c r="F190" s="65">
        <f t="shared" ref="F190:F203" si="94">$E190/12</f>
        <v>0</v>
      </c>
      <c r="G190" s="65">
        <f t="shared" si="93"/>
        <v>0</v>
      </c>
      <c r="H190" s="65">
        <f t="shared" si="93"/>
        <v>0</v>
      </c>
      <c r="I190" s="65">
        <f t="shared" si="93"/>
        <v>0</v>
      </c>
      <c r="J190" s="65">
        <f t="shared" si="93"/>
        <v>0</v>
      </c>
      <c r="K190" s="65">
        <f t="shared" si="93"/>
        <v>0</v>
      </c>
      <c r="L190" s="65">
        <f t="shared" si="93"/>
        <v>0</v>
      </c>
      <c r="M190" s="65">
        <f t="shared" si="93"/>
        <v>0</v>
      </c>
      <c r="N190" s="65">
        <f t="shared" si="93"/>
        <v>0</v>
      </c>
      <c r="O190" s="65">
        <f t="shared" si="93"/>
        <v>0</v>
      </c>
      <c r="P190" s="65">
        <f t="shared" si="93"/>
        <v>0</v>
      </c>
      <c r="Q190" s="65">
        <f t="shared" si="93"/>
        <v>0</v>
      </c>
      <c r="R190" s="58">
        <f>SUM(F190:Q190)</f>
        <v>0</v>
      </c>
      <c r="S190" s="58">
        <f>E190-R190</f>
        <v>0</v>
      </c>
      <c r="T190" s="106" t="s">
        <v>166</v>
      </c>
      <c r="U190" s="9"/>
    </row>
    <row r="191" spans="2:21">
      <c r="B191" s="34" t="str">
        <f>'3) Pre-Opening Budget'!B160</f>
        <v xml:space="preserve">Custodial </v>
      </c>
      <c r="C191" s="89"/>
      <c r="E191" s="82">
        <f>'3) Pre-Opening Budget'!E160</f>
        <v>0</v>
      </c>
      <c r="F191" s="65">
        <f t="shared" si="94"/>
        <v>0</v>
      </c>
      <c r="G191" s="65">
        <f t="shared" si="93"/>
        <v>0</v>
      </c>
      <c r="H191" s="65">
        <f t="shared" si="93"/>
        <v>0</v>
      </c>
      <c r="I191" s="65">
        <f t="shared" si="93"/>
        <v>0</v>
      </c>
      <c r="J191" s="65">
        <f t="shared" si="93"/>
        <v>0</v>
      </c>
      <c r="K191" s="65">
        <f t="shared" si="93"/>
        <v>0</v>
      </c>
      <c r="L191" s="65">
        <f t="shared" si="93"/>
        <v>0</v>
      </c>
      <c r="M191" s="65">
        <f t="shared" si="93"/>
        <v>0</v>
      </c>
      <c r="N191" s="65">
        <f t="shared" si="93"/>
        <v>0</v>
      </c>
      <c r="O191" s="65">
        <f t="shared" si="93"/>
        <v>0</v>
      </c>
      <c r="P191" s="65">
        <f t="shared" si="93"/>
        <v>0</v>
      </c>
      <c r="Q191" s="65">
        <f t="shared" si="93"/>
        <v>0</v>
      </c>
      <c r="R191" s="58">
        <f>SUM(F191:Q191)</f>
        <v>0</v>
      </c>
      <c r="S191" s="58">
        <f>E191-R191</f>
        <v>0</v>
      </c>
      <c r="T191" s="106" t="s">
        <v>167</v>
      </c>
      <c r="U191" s="9"/>
    </row>
    <row r="192" spans="2:21">
      <c r="B192" s="34" t="str">
        <f>'3) Pre-Opening Budget'!B161</f>
        <v>Waste</v>
      </c>
      <c r="C192" s="89"/>
      <c r="E192" s="82">
        <f>'3) Pre-Opening Budget'!E161</f>
        <v>0</v>
      </c>
      <c r="F192" s="65">
        <f t="shared" si="94"/>
        <v>0</v>
      </c>
      <c r="G192" s="65">
        <f t="shared" si="93"/>
        <v>0</v>
      </c>
      <c r="H192" s="65">
        <f t="shared" si="93"/>
        <v>0</v>
      </c>
      <c r="I192" s="65">
        <f t="shared" si="93"/>
        <v>0</v>
      </c>
      <c r="J192" s="65">
        <f t="shared" si="93"/>
        <v>0</v>
      </c>
      <c r="K192" s="65">
        <f t="shared" si="93"/>
        <v>0</v>
      </c>
      <c r="L192" s="65">
        <f t="shared" si="93"/>
        <v>0</v>
      </c>
      <c r="M192" s="65">
        <f t="shared" si="93"/>
        <v>0</v>
      </c>
      <c r="N192" s="65">
        <f t="shared" si="93"/>
        <v>0</v>
      </c>
      <c r="O192" s="65">
        <f t="shared" si="93"/>
        <v>0</v>
      </c>
      <c r="P192" s="65">
        <f t="shared" si="93"/>
        <v>0</v>
      </c>
      <c r="Q192" s="65">
        <f t="shared" si="93"/>
        <v>0</v>
      </c>
      <c r="R192" s="58">
        <f t="shared" ref="R192:R198" si="95">SUM(F192:Q192)</f>
        <v>0</v>
      </c>
      <c r="S192" s="58">
        <f t="shared" ref="S192:S198" si="96">E192-R192</f>
        <v>0</v>
      </c>
      <c r="T192" s="106" t="s">
        <v>168</v>
      </c>
      <c r="U192" s="9"/>
    </row>
    <row r="193" spans="2:21">
      <c r="B193" s="34" t="str">
        <f>'3) Pre-Opening Budget'!B162</f>
        <v>Faculty Furniture</v>
      </c>
      <c r="C193" s="89"/>
      <c r="E193" s="82">
        <f>'3) Pre-Opening Budget'!E162</f>
        <v>0</v>
      </c>
      <c r="F193" s="65">
        <f t="shared" si="94"/>
        <v>0</v>
      </c>
      <c r="G193" s="65">
        <f t="shared" si="93"/>
        <v>0</v>
      </c>
      <c r="H193" s="65">
        <f t="shared" si="93"/>
        <v>0</v>
      </c>
      <c r="I193" s="65">
        <f t="shared" si="93"/>
        <v>0</v>
      </c>
      <c r="J193" s="65">
        <f t="shared" si="93"/>
        <v>0</v>
      </c>
      <c r="K193" s="65">
        <f t="shared" si="93"/>
        <v>0</v>
      </c>
      <c r="L193" s="65">
        <f t="shared" si="93"/>
        <v>0</v>
      </c>
      <c r="M193" s="65">
        <f t="shared" si="93"/>
        <v>0</v>
      </c>
      <c r="N193" s="65">
        <f t="shared" si="93"/>
        <v>0</v>
      </c>
      <c r="O193" s="65">
        <f t="shared" si="93"/>
        <v>0</v>
      </c>
      <c r="P193" s="65">
        <f t="shared" si="93"/>
        <v>0</v>
      </c>
      <c r="Q193" s="65">
        <f t="shared" si="93"/>
        <v>0</v>
      </c>
      <c r="R193" s="58">
        <f t="shared" si="95"/>
        <v>0</v>
      </c>
      <c r="S193" s="58">
        <f t="shared" si="96"/>
        <v>0</v>
      </c>
      <c r="T193" s="106" t="s">
        <v>169</v>
      </c>
      <c r="U193" s="9"/>
    </row>
    <row r="194" spans="2:21">
      <c r="B194" s="34" t="str">
        <f>'3) Pre-Opening Budget'!B163</f>
        <v>Student Furniture</v>
      </c>
      <c r="C194" s="89"/>
      <c r="E194" s="82">
        <f>'3) Pre-Opening Budget'!E163</f>
        <v>0</v>
      </c>
      <c r="F194" s="65">
        <f t="shared" si="94"/>
        <v>0</v>
      </c>
      <c r="G194" s="65">
        <f t="shared" si="93"/>
        <v>0</v>
      </c>
      <c r="H194" s="65">
        <f t="shared" si="93"/>
        <v>0</v>
      </c>
      <c r="I194" s="65">
        <f t="shared" si="93"/>
        <v>0</v>
      </c>
      <c r="J194" s="65">
        <f t="shared" si="93"/>
        <v>0</v>
      </c>
      <c r="K194" s="65">
        <f t="shared" si="93"/>
        <v>0</v>
      </c>
      <c r="L194" s="65">
        <f t="shared" si="93"/>
        <v>0</v>
      </c>
      <c r="M194" s="65">
        <f t="shared" si="93"/>
        <v>0</v>
      </c>
      <c r="N194" s="65">
        <f t="shared" si="93"/>
        <v>0</v>
      </c>
      <c r="O194" s="65">
        <f t="shared" si="93"/>
        <v>0</v>
      </c>
      <c r="P194" s="65">
        <f t="shared" si="93"/>
        <v>0</v>
      </c>
      <c r="Q194" s="65">
        <f t="shared" si="93"/>
        <v>0</v>
      </c>
      <c r="R194" s="58">
        <f t="shared" si="95"/>
        <v>0</v>
      </c>
      <c r="S194" s="58">
        <f t="shared" si="96"/>
        <v>0</v>
      </c>
      <c r="T194" s="106" t="s">
        <v>170</v>
      </c>
      <c r="U194" s="9"/>
    </row>
    <row r="195" spans="2:21">
      <c r="B195" s="34" t="str">
        <f>'3) Pre-Opening Budget'!B164</f>
        <v>Internet/Network Equipment</v>
      </c>
      <c r="C195" s="89"/>
      <c r="E195" s="82">
        <f>'3) Pre-Opening Budget'!E164</f>
        <v>3600</v>
      </c>
      <c r="F195" s="65">
        <f t="shared" si="94"/>
        <v>300</v>
      </c>
      <c r="G195" s="65">
        <f t="shared" si="93"/>
        <v>300</v>
      </c>
      <c r="H195" s="65">
        <f t="shared" si="93"/>
        <v>300</v>
      </c>
      <c r="I195" s="65">
        <f t="shared" si="93"/>
        <v>300</v>
      </c>
      <c r="J195" s="65">
        <f t="shared" si="93"/>
        <v>300</v>
      </c>
      <c r="K195" s="65">
        <f t="shared" si="93"/>
        <v>300</v>
      </c>
      <c r="L195" s="65">
        <f t="shared" si="93"/>
        <v>300</v>
      </c>
      <c r="M195" s="65">
        <f t="shared" si="93"/>
        <v>300</v>
      </c>
      <c r="N195" s="65">
        <f t="shared" si="93"/>
        <v>300</v>
      </c>
      <c r="O195" s="65">
        <f t="shared" si="93"/>
        <v>300</v>
      </c>
      <c r="P195" s="65">
        <f t="shared" si="93"/>
        <v>300</v>
      </c>
      <c r="Q195" s="65">
        <f t="shared" si="93"/>
        <v>300</v>
      </c>
      <c r="R195" s="58">
        <f t="shared" si="95"/>
        <v>3600</v>
      </c>
      <c r="S195" s="58">
        <f t="shared" si="96"/>
        <v>0</v>
      </c>
      <c r="T195" s="106" t="s">
        <v>171</v>
      </c>
      <c r="U195" s="9"/>
    </row>
    <row r="196" spans="2:21">
      <c r="B196" s="34" t="str">
        <f>'3) Pre-Opening Budget'!B165</f>
        <v>Other Equipment</v>
      </c>
      <c r="C196" s="89"/>
      <c r="E196" s="82">
        <f>'3) Pre-Opening Budget'!E165</f>
        <v>2436</v>
      </c>
      <c r="F196" s="65">
        <f t="shared" si="94"/>
        <v>203</v>
      </c>
      <c r="G196" s="65">
        <f t="shared" si="93"/>
        <v>203</v>
      </c>
      <c r="H196" s="65">
        <f t="shared" si="93"/>
        <v>203</v>
      </c>
      <c r="I196" s="65">
        <f t="shared" si="93"/>
        <v>203</v>
      </c>
      <c r="J196" s="65">
        <f t="shared" si="93"/>
        <v>203</v>
      </c>
      <c r="K196" s="65">
        <f t="shared" si="93"/>
        <v>203</v>
      </c>
      <c r="L196" s="65">
        <f t="shared" si="93"/>
        <v>203</v>
      </c>
      <c r="M196" s="65">
        <f t="shared" si="93"/>
        <v>203</v>
      </c>
      <c r="N196" s="65">
        <f t="shared" si="93"/>
        <v>203</v>
      </c>
      <c r="O196" s="65">
        <f t="shared" si="93"/>
        <v>203</v>
      </c>
      <c r="P196" s="65">
        <f t="shared" si="93"/>
        <v>203</v>
      </c>
      <c r="Q196" s="65">
        <f t="shared" si="93"/>
        <v>203</v>
      </c>
      <c r="R196" s="58">
        <f t="shared" si="95"/>
        <v>2436</v>
      </c>
      <c r="S196" s="58">
        <f t="shared" si="96"/>
        <v>0</v>
      </c>
      <c r="T196" s="106" t="s">
        <v>172</v>
      </c>
      <c r="U196" s="9"/>
    </row>
    <row r="197" spans="2:21">
      <c r="B197" s="34" t="str">
        <f>'3) Pre-Opening Budget'!B166</f>
        <v>Building Decorum</v>
      </c>
      <c r="C197" s="89"/>
      <c r="E197" s="82">
        <f>'3) Pre-Opening Budget'!E166</f>
        <v>0</v>
      </c>
      <c r="F197" s="65">
        <f t="shared" si="94"/>
        <v>0</v>
      </c>
      <c r="G197" s="65">
        <f t="shared" si="93"/>
        <v>0</v>
      </c>
      <c r="H197" s="65">
        <f t="shared" si="93"/>
        <v>0</v>
      </c>
      <c r="I197" s="65">
        <f t="shared" si="93"/>
        <v>0</v>
      </c>
      <c r="J197" s="65">
        <f t="shared" si="93"/>
        <v>0</v>
      </c>
      <c r="K197" s="65">
        <f t="shared" si="93"/>
        <v>0</v>
      </c>
      <c r="L197" s="65">
        <f t="shared" si="93"/>
        <v>0</v>
      </c>
      <c r="M197" s="65">
        <f t="shared" si="93"/>
        <v>0</v>
      </c>
      <c r="N197" s="65">
        <f t="shared" si="93"/>
        <v>0</v>
      </c>
      <c r="O197" s="65">
        <f t="shared" si="93"/>
        <v>0</v>
      </c>
      <c r="P197" s="65">
        <f t="shared" si="93"/>
        <v>0</v>
      </c>
      <c r="Q197" s="65">
        <f t="shared" si="93"/>
        <v>0</v>
      </c>
      <c r="R197" s="58">
        <f t="shared" si="95"/>
        <v>0</v>
      </c>
      <c r="S197" s="58">
        <f t="shared" si="96"/>
        <v>0</v>
      </c>
      <c r="T197" s="106" t="s">
        <v>173</v>
      </c>
      <c r="U197" s="9"/>
    </row>
    <row r="198" spans="2:21">
      <c r="B198" s="34" t="str">
        <f>'3) Pre-Opening Budget'!B167</f>
        <v>Tenant Improvements</v>
      </c>
      <c r="C198" s="89"/>
      <c r="E198" s="82">
        <f>'3) Pre-Opening Budget'!E167</f>
        <v>0</v>
      </c>
      <c r="F198" s="65">
        <f t="shared" si="94"/>
        <v>0</v>
      </c>
      <c r="G198" s="65">
        <f t="shared" si="93"/>
        <v>0</v>
      </c>
      <c r="H198" s="65">
        <f t="shared" si="93"/>
        <v>0</v>
      </c>
      <c r="I198" s="65">
        <f t="shared" si="93"/>
        <v>0</v>
      </c>
      <c r="J198" s="65">
        <f t="shared" si="93"/>
        <v>0</v>
      </c>
      <c r="K198" s="65">
        <f t="shared" si="93"/>
        <v>0</v>
      </c>
      <c r="L198" s="65">
        <f t="shared" si="93"/>
        <v>0</v>
      </c>
      <c r="M198" s="65">
        <f t="shared" si="93"/>
        <v>0</v>
      </c>
      <c r="N198" s="65">
        <f t="shared" si="93"/>
        <v>0</v>
      </c>
      <c r="O198" s="65">
        <f t="shared" si="93"/>
        <v>0</v>
      </c>
      <c r="P198" s="65">
        <f t="shared" si="93"/>
        <v>0</v>
      </c>
      <c r="Q198" s="65">
        <f t="shared" si="93"/>
        <v>0</v>
      </c>
      <c r="R198" s="58">
        <f t="shared" si="95"/>
        <v>0</v>
      </c>
      <c r="S198" s="58">
        <f t="shared" si="96"/>
        <v>0</v>
      </c>
      <c r="T198" s="106" t="s">
        <v>174</v>
      </c>
      <c r="U198" s="9"/>
    </row>
    <row r="199" spans="2:21">
      <c r="B199" s="34" t="str">
        <f>'3) Pre-Opening Budget'!B168</f>
        <v>Fire &amp; Security Monitoring</v>
      </c>
      <c r="C199" s="89"/>
      <c r="E199" s="82">
        <f>'3) Pre-Opening Budget'!E168</f>
        <v>0</v>
      </c>
      <c r="F199" s="65">
        <f t="shared" si="94"/>
        <v>0</v>
      </c>
      <c r="G199" s="65">
        <f t="shared" si="93"/>
        <v>0</v>
      </c>
      <c r="H199" s="65">
        <f t="shared" si="93"/>
        <v>0</v>
      </c>
      <c r="I199" s="65">
        <f t="shared" si="93"/>
        <v>0</v>
      </c>
      <c r="J199" s="65">
        <f t="shared" si="93"/>
        <v>0</v>
      </c>
      <c r="K199" s="65">
        <f t="shared" si="93"/>
        <v>0</v>
      </c>
      <c r="L199" s="65">
        <f t="shared" si="93"/>
        <v>0</v>
      </c>
      <c r="M199" s="65">
        <f t="shared" si="93"/>
        <v>0</v>
      </c>
      <c r="N199" s="65">
        <f t="shared" si="93"/>
        <v>0</v>
      </c>
      <c r="O199" s="65">
        <f t="shared" si="93"/>
        <v>0</v>
      </c>
      <c r="P199" s="65">
        <f t="shared" si="93"/>
        <v>0</v>
      </c>
      <c r="Q199" s="65">
        <f t="shared" si="93"/>
        <v>0</v>
      </c>
      <c r="R199" s="58">
        <f>SUM(F199:Q199)</f>
        <v>0</v>
      </c>
      <c r="S199" s="58">
        <f>E199-R199</f>
        <v>0</v>
      </c>
      <c r="T199" s="106" t="s">
        <v>96</v>
      </c>
      <c r="U199" s="9"/>
    </row>
    <row r="200" spans="2:21">
      <c r="B200" s="34" t="str">
        <f>'3) Pre-Opening Budget'!B169</f>
        <v>Pest Control</v>
      </c>
      <c r="C200" s="89"/>
      <c r="E200" s="82">
        <f>'3) Pre-Opening Budget'!E169</f>
        <v>0</v>
      </c>
      <c r="F200" s="65">
        <f t="shared" si="94"/>
        <v>0</v>
      </c>
      <c r="G200" s="65">
        <f t="shared" si="93"/>
        <v>0</v>
      </c>
      <c r="H200" s="65">
        <f t="shared" si="93"/>
        <v>0</v>
      </c>
      <c r="I200" s="65">
        <f t="shared" si="93"/>
        <v>0</v>
      </c>
      <c r="J200" s="65">
        <f t="shared" si="93"/>
        <v>0</v>
      </c>
      <c r="K200" s="65">
        <f t="shared" si="93"/>
        <v>0</v>
      </c>
      <c r="L200" s="65">
        <f t="shared" si="93"/>
        <v>0</v>
      </c>
      <c r="M200" s="65">
        <f t="shared" si="93"/>
        <v>0</v>
      </c>
      <c r="N200" s="65">
        <f t="shared" si="93"/>
        <v>0</v>
      </c>
      <c r="O200" s="65">
        <f t="shared" si="93"/>
        <v>0</v>
      </c>
      <c r="P200" s="65">
        <f t="shared" si="93"/>
        <v>0</v>
      </c>
      <c r="Q200" s="65">
        <f t="shared" si="93"/>
        <v>0</v>
      </c>
      <c r="R200" s="58">
        <f>SUM(F200:Q200)</f>
        <v>0</v>
      </c>
      <c r="S200" s="58">
        <f>E200-R200</f>
        <v>0</v>
      </c>
      <c r="T200" s="106" t="s">
        <v>96</v>
      </c>
      <c r="U200" s="9"/>
    </row>
    <row r="201" spans="2:21">
      <c r="B201" s="34" t="str">
        <f>'3) Pre-Opening Budget'!B170</f>
        <v>Other</v>
      </c>
      <c r="C201" s="89"/>
      <c r="E201" s="82">
        <f>'3) Pre-Opening Budget'!E170</f>
        <v>0</v>
      </c>
      <c r="F201" s="65">
        <f t="shared" si="94"/>
        <v>0</v>
      </c>
      <c r="G201" s="65">
        <f t="shared" si="93"/>
        <v>0</v>
      </c>
      <c r="H201" s="65">
        <f t="shared" si="93"/>
        <v>0</v>
      </c>
      <c r="I201" s="65">
        <f t="shared" si="93"/>
        <v>0</v>
      </c>
      <c r="J201" s="65">
        <f t="shared" si="93"/>
        <v>0</v>
      </c>
      <c r="K201" s="65">
        <f t="shared" si="93"/>
        <v>0</v>
      </c>
      <c r="L201" s="65">
        <f t="shared" si="93"/>
        <v>0</v>
      </c>
      <c r="M201" s="65">
        <f t="shared" si="93"/>
        <v>0</v>
      </c>
      <c r="N201" s="65">
        <f t="shared" si="93"/>
        <v>0</v>
      </c>
      <c r="O201" s="65">
        <f t="shared" si="93"/>
        <v>0</v>
      </c>
      <c r="P201" s="65">
        <f t="shared" si="93"/>
        <v>0</v>
      </c>
      <c r="Q201" s="65">
        <f t="shared" si="93"/>
        <v>0</v>
      </c>
      <c r="R201" s="58">
        <f>SUM(F201:Q201)</f>
        <v>0</v>
      </c>
      <c r="S201" s="58">
        <f>E201-R201</f>
        <v>0</v>
      </c>
      <c r="T201" s="106" t="s">
        <v>96</v>
      </c>
      <c r="U201" s="9"/>
    </row>
    <row r="202" spans="2:21">
      <c r="B202" s="34" t="str">
        <f>'3) Pre-Opening Budget'!B171</f>
        <v>Other</v>
      </c>
      <c r="C202" s="89"/>
      <c r="E202" s="82">
        <f>'3) Pre-Opening Budget'!E171</f>
        <v>0</v>
      </c>
      <c r="F202" s="65">
        <f t="shared" si="94"/>
        <v>0</v>
      </c>
      <c r="G202" s="65">
        <f t="shared" si="93"/>
        <v>0</v>
      </c>
      <c r="H202" s="65">
        <f t="shared" si="93"/>
        <v>0</v>
      </c>
      <c r="I202" s="65">
        <f t="shared" si="93"/>
        <v>0</v>
      </c>
      <c r="J202" s="65">
        <f t="shared" si="93"/>
        <v>0</v>
      </c>
      <c r="K202" s="65">
        <f t="shared" si="93"/>
        <v>0</v>
      </c>
      <c r="L202" s="65">
        <f t="shared" si="93"/>
        <v>0</v>
      </c>
      <c r="M202" s="65">
        <f t="shared" si="93"/>
        <v>0</v>
      </c>
      <c r="N202" s="65">
        <f t="shared" si="93"/>
        <v>0</v>
      </c>
      <c r="O202" s="65">
        <f t="shared" si="93"/>
        <v>0</v>
      </c>
      <c r="P202" s="65">
        <f t="shared" si="93"/>
        <v>0</v>
      </c>
      <c r="Q202" s="65">
        <f t="shared" si="93"/>
        <v>0</v>
      </c>
      <c r="R202" s="58">
        <f t="shared" ref="R202:R203" si="97">SUM(F202:Q202)</f>
        <v>0</v>
      </c>
      <c r="S202" s="58">
        <f t="shared" ref="S202:S203" si="98">E202-R202</f>
        <v>0</v>
      </c>
      <c r="T202" s="106" t="s">
        <v>96</v>
      </c>
      <c r="U202" s="9"/>
    </row>
    <row r="203" spans="2:21">
      <c r="B203" s="34" t="str">
        <f>'3) Pre-Opening Budget'!B172</f>
        <v>Other</v>
      </c>
      <c r="C203" s="89"/>
      <c r="E203" s="82">
        <f>'3) Pre-Opening Budget'!E172</f>
        <v>0</v>
      </c>
      <c r="F203" s="65">
        <f t="shared" si="94"/>
        <v>0</v>
      </c>
      <c r="G203" s="65">
        <f t="shared" si="93"/>
        <v>0</v>
      </c>
      <c r="H203" s="65">
        <f t="shared" si="93"/>
        <v>0</v>
      </c>
      <c r="I203" s="65">
        <f t="shared" si="93"/>
        <v>0</v>
      </c>
      <c r="J203" s="65">
        <f t="shared" si="93"/>
        <v>0</v>
      </c>
      <c r="K203" s="65">
        <f t="shared" si="93"/>
        <v>0</v>
      </c>
      <c r="L203" s="65">
        <f t="shared" si="93"/>
        <v>0</v>
      </c>
      <c r="M203" s="65">
        <f t="shared" si="93"/>
        <v>0</v>
      </c>
      <c r="N203" s="65">
        <f t="shared" si="93"/>
        <v>0</v>
      </c>
      <c r="O203" s="65">
        <f t="shared" si="93"/>
        <v>0</v>
      </c>
      <c r="P203" s="65">
        <f t="shared" si="93"/>
        <v>0</v>
      </c>
      <c r="Q203" s="65">
        <f t="shared" si="93"/>
        <v>0</v>
      </c>
      <c r="R203" s="58">
        <f t="shared" si="97"/>
        <v>0</v>
      </c>
      <c r="S203" s="58">
        <f t="shared" si="98"/>
        <v>0</v>
      </c>
      <c r="T203" s="106" t="s">
        <v>96</v>
      </c>
      <c r="U203" s="9"/>
    </row>
    <row r="204" spans="2:21">
      <c r="B204" s="29"/>
      <c r="C204" s="42"/>
      <c r="D204" s="42"/>
      <c r="E204" s="55"/>
      <c r="F204" s="55"/>
      <c r="G204" s="55"/>
      <c r="H204" s="55"/>
      <c r="I204" s="55"/>
      <c r="J204" s="55"/>
      <c r="K204" s="55"/>
      <c r="L204" s="55"/>
      <c r="M204" s="55"/>
      <c r="N204" s="55"/>
      <c r="O204" s="55"/>
      <c r="P204" s="55"/>
      <c r="Q204" s="55"/>
      <c r="R204" s="55"/>
      <c r="S204" s="55"/>
      <c r="T204" s="55"/>
      <c r="U204" s="9"/>
    </row>
    <row r="205" spans="2:21">
      <c r="B205" s="29" t="s">
        <v>175</v>
      </c>
      <c r="C205" s="42"/>
      <c r="D205" s="42"/>
      <c r="E205" s="55"/>
      <c r="F205" s="55"/>
      <c r="G205" s="55"/>
      <c r="H205" s="55"/>
      <c r="I205" s="55"/>
      <c r="J205" s="55"/>
      <c r="K205" s="55"/>
      <c r="L205" s="55"/>
      <c r="M205" s="55"/>
      <c r="N205" s="55"/>
      <c r="O205" s="55"/>
      <c r="P205" s="55"/>
      <c r="Q205" s="55"/>
      <c r="R205" s="55"/>
      <c r="S205" s="55"/>
      <c r="T205" s="55"/>
      <c r="U205" s="9"/>
    </row>
    <row r="206" spans="2:21">
      <c r="B206" s="34" t="str">
        <f>'3) Pre-Opening Budget'!B175</f>
        <v>Staff Recruitment</v>
      </c>
      <c r="C206" s="89"/>
      <c r="E206" s="82">
        <f>'3) Pre-Opening Budget'!E175</f>
        <v>3000</v>
      </c>
      <c r="F206" s="65">
        <f>$E206/12</f>
        <v>250</v>
      </c>
      <c r="G206" s="65">
        <f t="shared" ref="G206:Q210" si="99">$E206/12</f>
        <v>250</v>
      </c>
      <c r="H206" s="65">
        <f t="shared" si="99"/>
        <v>250</v>
      </c>
      <c r="I206" s="65">
        <f t="shared" si="99"/>
        <v>250</v>
      </c>
      <c r="J206" s="65">
        <f t="shared" si="99"/>
        <v>250</v>
      </c>
      <c r="K206" s="65">
        <f t="shared" si="99"/>
        <v>250</v>
      </c>
      <c r="L206" s="65">
        <f t="shared" si="99"/>
        <v>250</v>
      </c>
      <c r="M206" s="65">
        <f t="shared" si="99"/>
        <v>250</v>
      </c>
      <c r="N206" s="65">
        <f t="shared" si="99"/>
        <v>250</v>
      </c>
      <c r="O206" s="65">
        <f t="shared" si="99"/>
        <v>250</v>
      </c>
      <c r="P206" s="65">
        <f t="shared" si="99"/>
        <v>250</v>
      </c>
      <c r="Q206" s="65">
        <f t="shared" si="99"/>
        <v>250</v>
      </c>
      <c r="R206" s="58">
        <f>SUM(F206:Q206)</f>
        <v>3000</v>
      </c>
      <c r="S206" s="58">
        <f>E206-R206</f>
        <v>0</v>
      </c>
      <c r="T206" s="106" t="s">
        <v>176</v>
      </c>
      <c r="U206" s="9"/>
    </row>
    <row r="207" spans="2:21">
      <c r="B207" s="34" t="str">
        <f>'3) Pre-Opening Budget'!B176</f>
        <v>Student Recruitment &amp; Community Engagement</v>
      </c>
      <c r="C207" s="89"/>
      <c r="E207" s="82">
        <f>'3) Pre-Opening Budget'!E176</f>
        <v>3000</v>
      </c>
      <c r="F207" s="65">
        <f t="shared" ref="F207:F210" si="100">$E207/12</f>
        <v>250</v>
      </c>
      <c r="G207" s="65">
        <f t="shared" si="99"/>
        <v>250</v>
      </c>
      <c r="H207" s="65">
        <f t="shared" si="99"/>
        <v>250</v>
      </c>
      <c r="I207" s="65">
        <f t="shared" si="99"/>
        <v>250</v>
      </c>
      <c r="J207" s="65">
        <f t="shared" si="99"/>
        <v>250</v>
      </c>
      <c r="K207" s="65">
        <f t="shared" si="99"/>
        <v>250</v>
      </c>
      <c r="L207" s="65">
        <f t="shared" si="99"/>
        <v>250</v>
      </c>
      <c r="M207" s="65">
        <f t="shared" si="99"/>
        <v>250</v>
      </c>
      <c r="N207" s="65">
        <f t="shared" si="99"/>
        <v>250</v>
      </c>
      <c r="O207" s="65">
        <f t="shared" si="99"/>
        <v>250</v>
      </c>
      <c r="P207" s="65">
        <f t="shared" si="99"/>
        <v>250</v>
      </c>
      <c r="Q207" s="65">
        <f t="shared" si="99"/>
        <v>250</v>
      </c>
      <c r="R207" s="58">
        <f>SUM(F207:Q207)</f>
        <v>3000</v>
      </c>
      <c r="S207" s="58">
        <f>E207-R207</f>
        <v>0</v>
      </c>
      <c r="T207" s="106" t="s">
        <v>177</v>
      </c>
      <c r="U207" s="9"/>
    </row>
    <row r="208" spans="2:21">
      <c r="B208" s="34" t="str">
        <f>'3) Pre-Opening Budget'!B177</f>
        <v>Parent &amp; Staff Meetings</v>
      </c>
      <c r="C208" s="89"/>
      <c r="E208" s="82">
        <f>'3) Pre-Opening Budget'!E177</f>
        <v>3000</v>
      </c>
      <c r="F208" s="65">
        <f t="shared" si="100"/>
        <v>250</v>
      </c>
      <c r="G208" s="65">
        <f t="shared" si="99"/>
        <v>250</v>
      </c>
      <c r="H208" s="65">
        <f t="shared" si="99"/>
        <v>250</v>
      </c>
      <c r="I208" s="65">
        <f t="shared" si="99"/>
        <v>250</v>
      </c>
      <c r="J208" s="65">
        <f t="shared" si="99"/>
        <v>250</v>
      </c>
      <c r="K208" s="65">
        <f t="shared" si="99"/>
        <v>250</v>
      </c>
      <c r="L208" s="65">
        <f t="shared" si="99"/>
        <v>250</v>
      </c>
      <c r="M208" s="65">
        <f t="shared" si="99"/>
        <v>250</v>
      </c>
      <c r="N208" s="65">
        <f t="shared" si="99"/>
        <v>250</v>
      </c>
      <c r="O208" s="65">
        <f t="shared" si="99"/>
        <v>250</v>
      </c>
      <c r="P208" s="65">
        <f t="shared" si="99"/>
        <v>250</v>
      </c>
      <c r="Q208" s="65">
        <f t="shared" si="99"/>
        <v>250</v>
      </c>
      <c r="R208" s="58">
        <f t="shared" ref="R208:R209" si="101">SUM(F208:Q208)</f>
        <v>3000</v>
      </c>
      <c r="S208" s="58">
        <f t="shared" ref="S208:S209" si="102">E208-R208</f>
        <v>0</v>
      </c>
      <c r="T208" s="106" t="s">
        <v>829</v>
      </c>
      <c r="U208" s="9"/>
    </row>
    <row r="209" spans="2:21">
      <c r="B209" s="34" t="str">
        <f>'3) Pre-Opening Budget'!B178</f>
        <v>Authorizer Fee</v>
      </c>
      <c r="C209" s="89"/>
      <c r="E209" s="82">
        <f>'3) Pre-Opening Budget'!E178</f>
        <v>0</v>
      </c>
      <c r="F209" s="65">
        <f t="shared" si="100"/>
        <v>0</v>
      </c>
      <c r="G209" s="65">
        <f t="shared" si="99"/>
        <v>0</v>
      </c>
      <c r="H209" s="65">
        <f t="shared" si="99"/>
        <v>0</v>
      </c>
      <c r="I209" s="65">
        <f t="shared" si="99"/>
        <v>0</v>
      </c>
      <c r="J209" s="65">
        <f t="shared" si="99"/>
        <v>0</v>
      </c>
      <c r="K209" s="65">
        <f t="shared" si="99"/>
        <v>0</v>
      </c>
      <c r="L209" s="65">
        <f t="shared" si="99"/>
        <v>0</v>
      </c>
      <c r="M209" s="65">
        <f t="shared" si="99"/>
        <v>0</v>
      </c>
      <c r="N209" s="65">
        <f t="shared" si="99"/>
        <v>0</v>
      </c>
      <c r="O209" s="65">
        <f t="shared" si="99"/>
        <v>0</v>
      </c>
      <c r="P209" s="65">
        <f t="shared" si="99"/>
        <v>0</v>
      </c>
      <c r="Q209" s="65">
        <f t="shared" si="99"/>
        <v>0</v>
      </c>
      <c r="R209" s="58">
        <f t="shared" si="101"/>
        <v>0</v>
      </c>
      <c r="S209" s="58">
        <f t="shared" si="102"/>
        <v>0</v>
      </c>
      <c r="T209" s="106" t="s">
        <v>834</v>
      </c>
      <c r="U209" s="9"/>
    </row>
    <row r="210" spans="2:21">
      <c r="B210" s="34" t="str">
        <f>'3) Pre-Opening Budget'!B179</f>
        <v>Travel-employee</v>
      </c>
      <c r="C210" s="89"/>
      <c r="E210" s="82">
        <f>'3) Pre-Opening Budget'!E179</f>
        <v>900</v>
      </c>
      <c r="F210" s="65">
        <f t="shared" si="100"/>
        <v>75</v>
      </c>
      <c r="G210" s="65">
        <f t="shared" si="99"/>
        <v>75</v>
      </c>
      <c r="H210" s="65">
        <f t="shared" si="99"/>
        <v>75</v>
      </c>
      <c r="I210" s="65">
        <f t="shared" si="99"/>
        <v>75</v>
      </c>
      <c r="J210" s="65">
        <f t="shared" si="99"/>
        <v>75</v>
      </c>
      <c r="K210" s="65">
        <f t="shared" si="99"/>
        <v>75</v>
      </c>
      <c r="L210" s="65">
        <f t="shared" si="99"/>
        <v>75</v>
      </c>
      <c r="M210" s="65">
        <f t="shared" si="99"/>
        <v>75</v>
      </c>
      <c r="N210" s="65">
        <f t="shared" si="99"/>
        <v>75</v>
      </c>
      <c r="O210" s="65">
        <f t="shared" si="99"/>
        <v>75</v>
      </c>
      <c r="P210" s="65">
        <f t="shared" si="99"/>
        <v>75</v>
      </c>
      <c r="Q210" s="65">
        <f t="shared" si="99"/>
        <v>75</v>
      </c>
      <c r="R210" s="58">
        <f>SUM(F210:Q210)</f>
        <v>900</v>
      </c>
      <c r="S210" s="58">
        <f>E210-R210</f>
        <v>0</v>
      </c>
      <c r="T210" s="106"/>
      <c r="U210" s="9"/>
    </row>
    <row r="211" spans="2:21">
      <c r="B211" s="29"/>
      <c r="C211" s="42"/>
      <c r="D211" s="42"/>
      <c r="E211" s="55"/>
      <c r="F211" s="55"/>
      <c r="G211" s="55"/>
      <c r="H211" s="55"/>
      <c r="I211" s="55"/>
      <c r="J211" s="55"/>
      <c r="K211" s="55"/>
      <c r="L211" s="55"/>
      <c r="M211" s="55"/>
      <c r="N211" s="55"/>
      <c r="O211" s="55"/>
      <c r="P211" s="55"/>
      <c r="Q211" s="55"/>
      <c r="R211" s="55"/>
      <c r="S211" s="55"/>
      <c r="T211" s="112"/>
      <c r="U211" s="9"/>
    </row>
    <row r="212" spans="2:21">
      <c r="B212" s="29" t="s">
        <v>180</v>
      </c>
      <c r="C212" s="42"/>
      <c r="D212" s="42"/>
      <c r="E212" s="55"/>
      <c r="F212" s="55"/>
      <c r="G212" s="55"/>
      <c r="H212" s="55"/>
      <c r="I212" s="55"/>
      <c r="J212" s="55"/>
      <c r="K212" s="55"/>
      <c r="L212" s="55"/>
      <c r="M212" s="55"/>
      <c r="N212" s="55"/>
      <c r="O212" s="55"/>
      <c r="P212" s="55"/>
      <c r="Q212" s="55"/>
      <c r="R212" s="55"/>
      <c r="S212" s="55"/>
      <c r="T212" s="55"/>
      <c r="U212" s="9"/>
    </row>
    <row r="213" spans="2:21">
      <c r="B213" s="34" t="str">
        <f>'3) Pre-Opening Budget'!B182</f>
        <v>Other</v>
      </c>
      <c r="C213" s="89"/>
      <c r="E213" s="58">
        <f>'3) Pre-Opening Budget'!E182</f>
        <v>0</v>
      </c>
      <c r="F213" s="66">
        <f>$E213/12</f>
        <v>0</v>
      </c>
      <c r="G213" s="66">
        <f t="shared" ref="G213:Q217" si="103">$E213/12</f>
        <v>0</v>
      </c>
      <c r="H213" s="66">
        <f t="shared" si="103"/>
        <v>0</v>
      </c>
      <c r="I213" s="66">
        <f t="shared" si="103"/>
        <v>0</v>
      </c>
      <c r="J213" s="66">
        <f t="shared" si="103"/>
        <v>0</v>
      </c>
      <c r="K213" s="66">
        <f t="shared" si="103"/>
        <v>0</v>
      </c>
      <c r="L213" s="66">
        <f t="shared" si="103"/>
        <v>0</v>
      </c>
      <c r="M213" s="66">
        <f t="shared" si="103"/>
        <v>0</v>
      </c>
      <c r="N213" s="66">
        <f t="shared" si="103"/>
        <v>0</v>
      </c>
      <c r="O213" s="66">
        <f t="shared" si="103"/>
        <v>0</v>
      </c>
      <c r="P213" s="66">
        <f t="shared" si="103"/>
        <v>0</v>
      </c>
      <c r="Q213" s="66">
        <f t="shared" si="103"/>
        <v>0</v>
      </c>
      <c r="R213" s="58">
        <f>SUM(F213:Q213)</f>
        <v>0</v>
      </c>
      <c r="S213" s="58">
        <f>E213-R213</f>
        <v>0</v>
      </c>
      <c r="T213" s="106"/>
      <c r="U213" s="9"/>
    </row>
    <row r="214" spans="2:21">
      <c r="B214" s="34" t="str">
        <f>'3) Pre-Opening Budget'!B183</f>
        <v>Other</v>
      </c>
      <c r="C214" s="89"/>
      <c r="E214" s="58">
        <f>'3) Pre-Opening Budget'!E183</f>
        <v>0</v>
      </c>
      <c r="F214" s="66">
        <f t="shared" ref="F214:F217" si="104">$E214/12</f>
        <v>0</v>
      </c>
      <c r="G214" s="66">
        <f t="shared" si="103"/>
        <v>0</v>
      </c>
      <c r="H214" s="66">
        <f t="shared" si="103"/>
        <v>0</v>
      </c>
      <c r="I214" s="66">
        <f t="shared" si="103"/>
        <v>0</v>
      </c>
      <c r="J214" s="66">
        <f t="shared" si="103"/>
        <v>0</v>
      </c>
      <c r="K214" s="66">
        <f t="shared" si="103"/>
        <v>0</v>
      </c>
      <c r="L214" s="66">
        <f t="shared" si="103"/>
        <v>0</v>
      </c>
      <c r="M214" s="66">
        <f t="shared" si="103"/>
        <v>0</v>
      </c>
      <c r="N214" s="66">
        <f t="shared" si="103"/>
        <v>0</v>
      </c>
      <c r="O214" s="66">
        <f t="shared" si="103"/>
        <v>0</v>
      </c>
      <c r="P214" s="66">
        <f t="shared" si="103"/>
        <v>0</v>
      </c>
      <c r="Q214" s="66">
        <f t="shared" si="103"/>
        <v>0</v>
      </c>
      <c r="R214" s="58">
        <f>SUM(F214:Q214)</f>
        <v>0</v>
      </c>
      <c r="S214" s="58">
        <f>E214-R214</f>
        <v>0</v>
      </c>
      <c r="T214" s="106"/>
      <c r="U214" s="9"/>
    </row>
    <row r="215" spans="2:21">
      <c r="B215" s="34" t="str">
        <f>'3) Pre-Opening Budget'!B184</f>
        <v>Other</v>
      </c>
      <c r="C215" s="89"/>
      <c r="E215" s="58">
        <f>'3) Pre-Opening Budget'!E184</f>
        <v>0</v>
      </c>
      <c r="F215" s="66">
        <f t="shared" si="104"/>
        <v>0</v>
      </c>
      <c r="G215" s="66">
        <f t="shared" si="103"/>
        <v>0</v>
      </c>
      <c r="H215" s="66">
        <f t="shared" si="103"/>
        <v>0</v>
      </c>
      <c r="I215" s="66">
        <f t="shared" si="103"/>
        <v>0</v>
      </c>
      <c r="J215" s="66">
        <f t="shared" si="103"/>
        <v>0</v>
      </c>
      <c r="K215" s="66">
        <f t="shared" si="103"/>
        <v>0</v>
      </c>
      <c r="L215" s="66">
        <f t="shared" si="103"/>
        <v>0</v>
      </c>
      <c r="M215" s="66">
        <f t="shared" si="103"/>
        <v>0</v>
      </c>
      <c r="N215" s="66">
        <f t="shared" si="103"/>
        <v>0</v>
      </c>
      <c r="O215" s="66">
        <f t="shared" si="103"/>
        <v>0</v>
      </c>
      <c r="P215" s="66">
        <f t="shared" si="103"/>
        <v>0</v>
      </c>
      <c r="Q215" s="66">
        <f t="shared" si="103"/>
        <v>0</v>
      </c>
      <c r="R215" s="58">
        <f t="shared" ref="R215:R216" si="105">SUM(F215:Q215)</f>
        <v>0</v>
      </c>
      <c r="S215" s="58">
        <f t="shared" ref="S215:S216" si="106">E215-R215</f>
        <v>0</v>
      </c>
      <c r="T215" s="106"/>
      <c r="U215" s="9"/>
    </row>
    <row r="216" spans="2:21">
      <c r="B216" s="34" t="str">
        <f>'3) Pre-Opening Budget'!B185</f>
        <v>Other</v>
      </c>
      <c r="C216" s="89"/>
      <c r="E216" s="58">
        <f>'3) Pre-Opening Budget'!E185</f>
        <v>0</v>
      </c>
      <c r="F216" s="66">
        <f t="shared" si="104"/>
        <v>0</v>
      </c>
      <c r="G216" s="66">
        <f t="shared" si="103"/>
        <v>0</v>
      </c>
      <c r="H216" s="66">
        <f t="shared" si="103"/>
        <v>0</v>
      </c>
      <c r="I216" s="66">
        <f t="shared" si="103"/>
        <v>0</v>
      </c>
      <c r="J216" s="66">
        <f t="shared" si="103"/>
        <v>0</v>
      </c>
      <c r="K216" s="66">
        <f t="shared" si="103"/>
        <v>0</v>
      </c>
      <c r="L216" s="66">
        <f t="shared" si="103"/>
        <v>0</v>
      </c>
      <c r="M216" s="66">
        <f t="shared" si="103"/>
        <v>0</v>
      </c>
      <c r="N216" s="66">
        <f t="shared" si="103"/>
        <v>0</v>
      </c>
      <c r="O216" s="66">
        <f t="shared" si="103"/>
        <v>0</v>
      </c>
      <c r="P216" s="66">
        <f t="shared" si="103"/>
        <v>0</v>
      </c>
      <c r="Q216" s="66">
        <f t="shared" si="103"/>
        <v>0</v>
      </c>
      <c r="R216" s="58">
        <f t="shared" si="105"/>
        <v>0</v>
      </c>
      <c r="S216" s="58">
        <f t="shared" si="106"/>
        <v>0</v>
      </c>
      <c r="T216" s="106"/>
      <c r="U216" s="9"/>
    </row>
    <row r="217" spans="2:21">
      <c r="B217" s="34" t="str">
        <f>'3) Pre-Opening Budget'!B186</f>
        <v>Other</v>
      </c>
      <c r="C217" s="89"/>
      <c r="E217" s="58">
        <f>'3) Pre-Opening Budget'!E186</f>
        <v>0</v>
      </c>
      <c r="F217" s="66">
        <f t="shared" si="104"/>
        <v>0</v>
      </c>
      <c r="G217" s="66">
        <f t="shared" si="103"/>
        <v>0</v>
      </c>
      <c r="H217" s="66">
        <f t="shared" si="103"/>
        <v>0</v>
      </c>
      <c r="I217" s="66">
        <f t="shared" si="103"/>
        <v>0</v>
      </c>
      <c r="J217" s="66">
        <f t="shared" si="103"/>
        <v>0</v>
      </c>
      <c r="K217" s="66">
        <f t="shared" si="103"/>
        <v>0</v>
      </c>
      <c r="L217" s="66">
        <f t="shared" si="103"/>
        <v>0</v>
      </c>
      <c r="M217" s="66">
        <f t="shared" si="103"/>
        <v>0</v>
      </c>
      <c r="N217" s="66">
        <f t="shared" si="103"/>
        <v>0</v>
      </c>
      <c r="O217" s="66">
        <f t="shared" si="103"/>
        <v>0</v>
      </c>
      <c r="P217" s="66">
        <f t="shared" si="103"/>
        <v>0</v>
      </c>
      <c r="Q217" s="66">
        <f t="shared" si="103"/>
        <v>0</v>
      </c>
      <c r="R217" s="58">
        <f>SUM(F217:Q217)</f>
        <v>0</v>
      </c>
      <c r="S217" s="58">
        <f>E217-R217</f>
        <v>0</v>
      </c>
      <c r="T217" s="106"/>
      <c r="U217" s="9"/>
    </row>
    <row r="218" spans="2:21">
      <c r="B218" s="29"/>
      <c r="C218" s="42"/>
      <c r="D218" s="42"/>
      <c r="E218" s="55"/>
      <c r="F218" s="55"/>
      <c r="G218" s="55"/>
      <c r="H218" s="55"/>
      <c r="I218" s="55"/>
      <c r="J218" s="55"/>
      <c r="K218" s="55"/>
      <c r="L218" s="55"/>
      <c r="M218" s="55"/>
      <c r="N218" s="55"/>
      <c r="O218" s="55"/>
      <c r="P218" s="55"/>
      <c r="Q218" s="55"/>
      <c r="R218" s="55"/>
      <c r="S218" s="55"/>
      <c r="T218" s="55"/>
      <c r="U218" s="9"/>
    </row>
    <row r="219" spans="2:21" ht="15.75" thickBot="1">
      <c r="B219" s="29" t="s">
        <v>181</v>
      </c>
      <c r="C219" s="42"/>
      <c r="D219" s="42"/>
      <c r="E219" s="54">
        <f>SUM(E154:E169,E172:E186,E189:E203,E206:E210,E213:E217)</f>
        <v>177103</v>
      </c>
      <c r="F219" s="54">
        <f t="shared" ref="F219:S219" si="107">SUM(F154:F169,F172:F186,F189:F203,F206:F210,F213:F217)</f>
        <v>14758.583333333334</v>
      </c>
      <c r="G219" s="54">
        <f t="shared" si="107"/>
        <v>14758.583333333334</v>
      </c>
      <c r="H219" s="54">
        <f t="shared" si="107"/>
        <v>14758.583333333334</v>
      </c>
      <c r="I219" s="54">
        <f t="shared" si="107"/>
        <v>14758.583333333334</v>
      </c>
      <c r="J219" s="54">
        <f t="shared" si="107"/>
        <v>14758.583333333334</v>
      </c>
      <c r="K219" s="54">
        <f t="shared" si="107"/>
        <v>14758.583333333334</v>
      </c>
      <c r="L219" s="54">
        <f t="shared" si="107"/>
        <v>14758.583333333334</v>
      </c>
      <c r="M219" s="54">
        <f t="shared" si="107"/>
        <v>14758.583333333334</v>
      </c>
      <c r="N219" s="54">
        <f t="shared" si="107"/>
        <v>14758.583333333334</v>
      </c>
      <c r="O219" s="54">
        <f t="shared" si="107"/>
        <v>14758.583333333334</v>
      </c>
      <c r="P219" s="54">
        <f t="shared" si="107"/>
        <v>14758.583333333334</v>
      </c>
      <c r="Q219" s="54">
        <f t="shared" si="107"/>
        <v>14758.583333333334</v>
      </c>
      <c r="R219" s="54">
        <f t="shared" si="107"/>
        <v>177103</v>
      </c>
      <c r="S219" s="54">
        <f t="shared" si="107"/>
        <v>0</v>
      </c>
      <c r="T219" s="55"/>
      <c r="U219" s="9"/>
    </row>
    <row r="220" spans="2:21" ht="15.75" thickTop="1">
      <c r="B220" s="29"/>
      <c r="C220" s="42"/>
      <c r="D220" s="42"/>
      <c r="E220" s="55"/>
      <c r="F220" s="55"/>
      <c r="G220" s="55"/>
      <c r="H220" s="55"/>
      <c r="I220" s="55"/>
      <c r="J220" s="55"/>
      <c r="K220" s="55"/>
      <c r="L220" s="55"/>
      <c r="M220" s="55"/>
      <c r="N220" s="55"/>
      <c r="O220" s="55"/>
      <c r="P220" s="55"/>
      <c r="Q220" s="55"/>
      <c r="R220" s="55"/>
      <c r="S220" s="55"/>
      <c r="T220" s="55"/>
      <c r="U220" s="9"/>
    </row>
    <row r="221" spans="2:21" ht="15.75" thickBot="1">
      <c r="B221" s="29" t="s">
        <v>182</v>
      </c>
      <c r="C221" s="42"/>
      <c r="D221" s="42"/>
      <c r="E221" s="54">
        <f t="shared" ref="E221:S221" si="108">E123+E143+E219</f>
        <v>487416.76250000001</v>
      </c>
      <c r="F221" s="54">
        <f t="shared" si="108"/>
        <v>34392.896874999999</v>
      </c>
      <c r="G221" s="54">
        <f t="shared" si="108"/>
        <v>34392.896874999999</v>
      </c>
      <c r="H221" s="54">
        <f t="shared" si="108"/>
        <v>34392.896874999999</v>
      </c>
      <c r="I221" s="54">
        <f t="shared" si="108"/>
        <v>34392.896874999999</v>
      </c>
      <c r="J221" s="54">
        <f t="shared" si="108"/>
        <v>34392.896874999999</v>
      </c>
      <c r="K221" s="54">
        <f t="shared" si="108"/>
        <v>34392.896874999999</v>
      </c>
      <c r="L221" s="54">
        <f t="shared" si="108"/>
        <v>46843.230208333334</v>
      </c>
      <c r="M221" s="54">
        <f t="shared" si="108"/>
        <v>46843.230208333334</v>
      </c>
      <c r="N221" s="54">
        <f t="shared" si="108"/>
        <v>46843.230208333334</v>
      </c>
      <c r="O221" s="54">
        <f t="shared" si="108"/>
        <v>46843.230208333334</v>
      </c>
      <c r="P221" s="54">
        <f t="shared" si="108"/>
        <v>46843.230208333334</v>
      </c>
      <c r="Q221" s="54">
        <f t="shared" si="108"/>
        <v>46843.230208333334</v>
      </c>
      <c r="R221" s="54">
        <f t="shared" si="108"/>
        <v>487416.76250000001</v>
      </c>
      <c r="S221" s="54">
        <f t="shared" si="108"/>
        <v>0</v>
      </c>
      <c r="T221" s="55"/>
      <c r="U221" s="9"/>
    </row>
    <row r="222" spans="2:21" ht="16.5" thickTop="1" thickBot="1">
      <c r="B222" s="20"/>
      <c r="C222" s="21"/>
      <c r="D222" s="21"/>
      <c r="E222" s="21"/>
      <c r="F222" s="21"/>
      <c r="G222" s="21"/>
      <c r="H222" s="21"/>
      <c r="I222" s="21"/>
      <c r="J222" s="21"/>
      <c r="K222" s="21"/>
      <c r="L222" s="21"/>
      <c r="M222" s="21"/>
      <c r="N222" s="21"/>
      <c r="O222" s="21"/>
      <c r="P222" s="21"/>
      <c r="Q222" s="21"/>
      <c r="R222" s="21"/>
      <c r="S222" s="21"/>
      <c r="T222" s="21"/>
      <c r="U222" s="22"/>
    </row>
    <row r="224" spans="2:21">
      <c r="E224" s="122"/>
    </row>
  </sheetData>
  <mergeCells count="9">
    <mergeCell ref="E88:S88"/>
    <mergeCell ref="E126:S126"/>
    <mergeCell ref="E146:S146"/>
    <mergeCell ref="E3:S3"/>
    <mergeCell ref="E4:S4"/>
    <mergeCell ref="E5:S5"/>
    <mergeCell ref="E46:S46"/>
    <mergeCell ref="E53:S53"/>
    <mergeCell ref="E8:S8"/>
  </mergeCells>
  <pageMargins left="0.7" right="0.7" top="0.75" bottom="0.75" header="0.3" footer="0.3"/>
  <pageSetup scale="53" fitToHeight="0" orientation="landscape" horizontalDpi="1200" verticalDpi="1200" r:id="rId1"/>
  <headerFooter>
    <oddFooter>&amp;L&amp;A&amp;RPage &amp;P of &amp;N</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B1:J106"/>
  <sheetViews>
    <sheetView topLeftCell="A53" zoomScale="75" zoomScaleNormal="75" workbookViewId="0">
      <selection activeCell="F86" sqref="F86"/>
    </sheetView>
  </sheetViews>
  <sheetFormatPr defaultColWidth="8.85546875" defaultRowHeight="15"/>
  <cols>
    <col min="1" max="1" width="4" customWidth="1"/>
    <col min="2" max="2" width="30" customWidth="1"/>
    <col min="3" max="3" width="17.7109375" customWidth="1"/>
    <col min="4" max="4" width="3.28515625" customWidth="1"/>
    <col min="5" max="5" width="18.7109375" customWidth="1"/>
    <col min="6" max="6" width="20.7109375" customWidth="1"/>
    <col min="7" max="7" width="19.140625" customWidth="1"/>
    <col min="8" max="8" width="17.7109375" customWidth="1"/>
    <col min="9" max="9" width="18.7109375" customWidth="1"/>
    <col min="10" max="10" width="4.42578125" customWidth="1"/>
    <col min="11" max="11" width="4.85546875" customWidth="1"/>
  </cols>
  <sheetData>
    <row r="1" spans="2:10" ht="15.75" thickBot="1"/>
    <row r="2" spans="2:10">
      <c r="B2" s="5"/>
      <c r="C2" s="6"/>
      <c r="D2" s="6"/>
      <c r="E2" s="6"/>
      <c r="F2" s="6"/>
      <c r="G2" s="6"/>
      <c r="H2" s="6"/>
      <c r="I2" s="6"/>
      <c r="J2" s="7"/>
    </row>
    <row r="3" spans="2:10" ht="18.75">
      <c r="B3" s="789" t="str">
        <f>IF('1) Proposed School Information'!E12="","ENTER SCHOOL NAME ON PROPOSED SCHOOL INFO SHEET",'1) Proposed School Information'!E12)</f>
        <v>Knoxville Prep</v>
      </c>
      <c r="C3" s="756"/>
      <c r="D3" s="756"/>
      <c r="E3" s="756"/>
      <c r="F3" s="756"/>
      <c r="G3" s="756"/>
      <c r="H3" s="756"/>
      <c r="I3" s="756"/>
      <c r="J3" s="790"/>
    </row>
    <row r="4" spans="2:10" ht="18.75">
      <c r="B4" s="791" t="s">
        <v>14</v>
      </c>
      <c r="C4" s="756"/>
      <c r="D4" s="756"/>
      <c r="E4" s="756"/>
      <c r="F4" s="756"/>
      <c r="G4" s="756"/>
      <c r="H4" s="756"/>
      <c r="I4" s="756"/>
      <c r="J4" s="790"/>
    </row>
    <row r="5" spans="2:10" ht="18.75">
      <c r="B5" s="791" t="s">
        <v>215</v>
      </c>
      <c r="C5" s="756"/>
      <c r="D5" s="756"/>
      <c r="E5" s="756"/>
      <c r="F5" s="756"/>
      <c r="G5" s="756"/>
      <c r="H5" s="756"/>
      <c r="I5" s="756"/>
      <c r="J5" s="790"/>
    </row>
    <row r="6" spans="2:10">
      <c r="B6" s="8"/>
      <c r="J6" s="9"/>
    </row>
    <row r="7" spans="2:10">
      <c r="B7" s="8"/>
      <c r="J7" s="9"/>
    </row>
    <row r="8" spans="2:10">
      <c r="B8" s="787" t="s">
        <v>216</v>
      </c>
      <c r="C8" s="751"/>
      <c r="D8" s="751"/>
      <c r="E8" s="751"/>
      <c r="F8" s="751"/>
      <c r="G8" s="751"/>
      <c r="H8" s="751"/>
      <c r="I8" s="751"/>
      <c r="J8" s="788"/>
    </row>
    <row r="9" spans="2:10">
      <c r="B9" s="8"/>
      <c r="J9" s="9"/>
    </row>
    <row r="10" spans="2:10">
      <c r="B10" s="24"/>
      <c r="C10" s="23"/>
      <c r="D10" s="1"/>
      <c r="E10" s="25" t="s">
        <v>42</v>
      </c>
      <c r="F10" s="25" t="s">
        <v>43</v>
      </c>
      <c r="G10" s="25" t="s">
        <v>44</v>
      </c>
      <c r="H10" s="25" t="s">
        <v>45</v>
      </c>
      <c r="I10" s="25" t="s">
        <v>46</v>
      </c>
      <c r="J10" s="660"/>
    </row>
    <row r="11" spans="2:10">
      <c r="B11" s="34" t="s">
        <v>217</v>
      </c>
      <c r="C11" s="23"/>
      <c r="D11" s="1"/>
      <c r="E11" s="25" t="str">
        <f>'2) Student Assumptions'!E11</f>
        <v>2024-25</v>
      </c>
      <c r="F11" s="25" t="str">
        <f>'2) Student Assumptions'!F11</f>
        <v>2025-26</v>
      </c>
      <c r="G11" s="25" t="str">
        <f>'2) Student Assumptions'!G11</f>
        <v>2026-27</v>
      </c>
      <c r="H11" s="25" t="str">
        <f>'2) Student Assumptions'!H11</f>
        <v>2027-28</v>
      </c>
      <c r="I11" s="25" t="str">
        <f>'2) Student Assumptions'!I11</f>
        <v>2028-29</v>
      </c>
      <c r="J11" s="660"/>
    </row>
    <row r="12" spans="2:10">
      <c r="B12" s="34" t="s">
        <v>218</v>
      </c>
      <c r="C12" s="23"/>
      <c r="D12" s="1"/>
      <c r="E12" s="25">
        <f>'2) Student Assumptions'!E29</f>
        <v>105</v>
      </c>
      <c r="F12" s="25">
        <f>'2) Student Assumptions'!F29</f>
        <v>207</v>
      </c>
      <c r="G12" s="25">
        <f>'2) Student Assumptions'!G29</f>
        <v>306</v>
      </c>
      <c r="H12" s="25">
        <f>'2) Student Assumptions'!H29</f>
        <v>409</v>
      </c>
      <c r="I12" s="25">
        <f>'2) Student Assumptions'!I29</f>
        <v>509</v>
      </c>
      <c r="J12" s="660"/>
    </row>
    <row r="13" spans="2:10">
      <c r="B13" s="34" t="s">
        <v>219</v>
      </c>
      <c r="C13" s="23"/>
      <c r="D13" s="1"/>
      <c r="E13" s="633">
        <f>'2) Student Assumptions'!E53</f>
        <v>4</v>
      </c>
      <c r="F13" s="633">
        <f>'2) Student Assumptions'!F53</f>
        <v>8</v>
      </c>
      <c r="G13" s="633">
        <f>'2) Student Assumptions'!G53</f>
        <v>12</v>
      </c>
      <c r="H13" s="633">
        <f>'2) Student Assumptions'!H53</f>
        <v>16</v>
      </c>
      <c r="I13" s="633">
        <f>'2) Student Assumptions'!I53</f>
        <v>20</v>
      </c>
      <c r="J13" s="660"/>
    </row>
    <row r="14" spans="2:10">
      <c r="B14" s="24"/>
      <c r="C14" s="23"/>
      <c r="D14" s="1"/>
      <c r="E14" s="41"/>
      <c r="F14" s="41"/>
      <c r="G14" s="41"/>
      <c r="H14" s="41"/>
      <c r="I14" s="41"/>
      <c r="J14" s="660"/>
    </row>
    <row r="15" spans="2:10">
      <c r="B15" s="24"/>
      <c r="C15" s="23"/>
      <c r="D15" s="23"/>
      <c r="E15" s="26"/>
      <c r="F15" s="26"/>
      <c r="G15" s="26"/>
      <c r="H15" s="26"/>
      <c r="I15" s="26"/>
      <c r="J15" s="661"/>
    </row>
    <row r="16" spans="2:10">
      <c r="B16" s="32" t="s">
        <v>225</v>
      </c>
      <c r="C16" s="23"/>
      <c r="D16" s="23"/>
      <c r="E16" s="26"/>
      <c r="F16" s="26"/>
      <c r="G16" s="26"/>
      <c r="H16" s="26"/>
      <c r="I16" s="26"/>
      <c r="J16" s="661"/>
    </row>
    <row r="17" spans="2:10">
      <c r="B17" s="27" t="s">
        <v>110</v>
      </c>
      <c r="C17" s="23"/>
      <c r="E17" s="93">
        <v>1</v>
      </c>
      <c r="F17" s="93">
        <v>1</v>
      </c>
      <c r="G17" s="93">
        <v>1</v>
      </c>
      <c r="H17" s="93">
        <v>1</v>
      </c>
      <c r="I17" s="93">
        <v>1</v>
      </c>
      <c r="J17" s="662"/>
    </row>
    <row r="18" spans="2:10">
      <c r="B18" s="27" t="s">
        <v>111</v>
      </c>
      <c r="C18" s="23"/>
      <c r="E18" s="93">
        <v>1</v>
      </c>
      <c r="F18" s="93">
        <v>1</v>
      </c>
      <c r="G18" s="93">
        <v>1</v>
      </c>
      <c r="H18" s="93">
        <v>1</v>
      </c>
      <c r="I18" s="93">
        <v>1</v>
      </c>
      <c r="J18" s="662"/>
    </row>
    <row r="19" spans="2:10">
      <c r="B19" s="27" t="s">
        <v>112</v>
      </c>
      <c r="C19" s="23"/>
      <c r="E19" s="93">
        <v>0</v>
      </c>
      <c r="F19" s="93">
        <v>0</v>
      </c>
      <c r="G19" s="93">
        <v>0</v>
      </c>
      <c r="H19" s="93">
        <v>0</v>
      </c>
      <c r="I19" s="93">
        <v>0</v>
      </c>
      <c r="J19" s="662"/>
    </row>
    <row r="20" spans="2:10">
      <c r="B20" s="27" t="s">
        <v>113</v>
      </c>
      <c r="C20" s="23"/>
      <c r="E20" s="93">
        <v>0</v>
      </c>
      <c r="F20" s="93">
        <v>1</v>
      </c>
      <c r="G20" s="93">
        <v>1</v>
      </c>
      <c r="H20" s="93">
        <v>1</v>
      </c>
      <c r="I20" s="93">
        <v>1</v>
      </c>
      <c r="J20" s="662"/>
    </row>
    <row r="21" spans="2:10">
      <c r="B21" s="27" t="s">
        <v>772</v>
      </c>
      <c r="C21" s="23"/>
      <c r="E21" s="93">
        <v>0</v>
      </c>
      <c r="F21" s="93">
        <v>0</v>
      </c>
      <c r="G21" s="93">
        <v>1</v>
      </c>
      <c r="H21" s="93">
        <v>1</v>
      </c>
      <c r="I21" s="93">
        <v>1</v>
      </c>
      <c r="J21" s="662"/>
    </row>
    <row r="22" spans="2:10">
      <c r="B22" s="29" t="s">
        <v>220</v>
      </c>
      <c r="C22" s="23"/>
      <c r="D22" s="23"/>
      <c r="E22" s="100">
        <f t="shared" ref="E22:I22" si="0">SUM(E17:E21)</f>
        <v>2</v>
      </c>
      <c r="F22" s="100">
        <f t="shared" si="0"/>
        <v>3</v>
      </c>
      <c r="G22" s="100">
        <f t="shared" si="0"/>
        <v>4</v>
      </c>
      <c r="H22" s="100">
        <f t="shared" si="0"/>
        <v>4</v>
      </c>
      <c r="I22" s="100">
        <f t="shared" si="0"/>
        <v>4</v>
      </c>
      <c r="J22" s="663"/>
    </row>
    <row r="23" spans="2:10">
      <c r="B23" s="24"/>
      <c r="C23" s="23"/>
      <c r="D23" s="23"/>
      <c r="E23" s="30"/>
      <c r="F23" s="30"/>
      <c r="G23" s="30"/>
      <c r="H23" s="30"/>
      <c r="I23" s="30"/>
      <c r="J23" s="664"/>
    </row>
    <row r="24" spans="2:10">
      <c r="B24" s="32" t="s">
        <v>227</v>
      </c>
      <c r="C24" s="23"/>
      <c r="D24" s="23"/>
      <c r="E24" s="26"/>
      <c r="F24" s="26"/>
      <c r="G24" s="26"/>
      <c r="H24" s="26"/>
      <c r="I24" s="26"/>
      <c r="J24" s="661"/>
    </row>
    <row r="25" spans="2:10">
      <c r="B25" s="27" t="s">
        <v>115</v>
      </c>
      <c r="C25" s="23"/>
      <c r="E25" s="93">
        <v>8</v>
      </c>
      <c r="F25" s="93">
        <v>12</v>
      </c>
      <c r="G25" s="93">
        <v>16</v>
      </c>
      <c r="H25" s="93">
        <v>21</v>
      </c>
      <c r="I25" s="93">
        <v>24</v>
      </c>
      <c r="J25" s="662"/>
    </row>
    <row r="26" spans="2:10">
      <c r="B26" s="27" t="s">
        <v>116</v>
      </c>
      <c r="C26" s="23"/>
      <c r="E26" s="93">
        <v>1</v>
      </c>
      <c r="F26" s="93">
        <v>1</v>
      </c>
      <c r="G26" s="93">
        <v>2</v>
      </c>
      <c r="H26" s="93">
        <v>2</v>
      </c>
      <c r="I26" s="93">
        <v>2</v>
      </c>
      <c r="J26" s="662"/>
    </row>
    <row r="27" spans="2:10">
      <c r="B27" s="27" t="s">
        <v>771</v>
      </c>
      <c r="C27" s="23"/>
      <c r="E27" s="93">
        <v>0</v>
      </c>
      <c r="F27" s="93">
        <v>0</v>
      </c>
      <c r="G27" s="93">
        <v>0</v>
      </c>
      <c r="H27" s="93">
        <v>0</v>
      </c>
      <c r="I27" s="93">
        <v>0</v>
      </c>
      <c r="J27" s="662"/>
    </row>
    <row r="28" spans="2:10">
      <c r="B28" s="27" t="s">
        <v>773</v>
      </c>
      <c r="C28" s="23"/>
      <c r="E28" s="93">
        <v>1</v>
      </c>
      <c r="F28" s="93">
        <v>1</v>
      </c>
      <c r="G28" s="93">
        <v>1</v>
      </c>
      <c r="H28" s="93">
        <v>1</v>
      </c>
      <c r="I28" s="93">
        <v>1</v>
      </c>
      <c r="J28" s="662"/>
    </row>
    <row r="29" spans="2:10">
      <c r="B29" s="27" t="s">
        <v>774</v>
      </c>
      <c r="C29" s="23"/>
      <c r="E29" s="93">
        <v>0</v>
      </c>
      <c r="F29" s="93">
        <v>0</v>
      </c>
      <c r="G29" s="93">
        <v>1</v>
      </c>
      <c r="H29" s="93">
        <v>1</v>
      </c>
      <c r="I29" s="93">
        <v>1</v>
      </c>
      <c r="J29" s="662"/>
    </row>
    <row r="30" spans="2:10">
      <c r="B30" s="29" t="s">
        <v>221</v>
      </c>
      <c r="C30" s="23"/>
      <c r="D30" s="23"/>
      <c r="E30" s="100">
        <f t="shared" ref="E30:I30" si="1">SUM(E25:E29)</f>
        <v>10</v>
      </c>
      <c r="F30" s="100">
        <f t="shared" si="1"/>
        <v>14</v>
      </c>
      <c r="G30" s="100">
        <f t="shared" si="1"/>
        <v>20</v>
      </c>
      <c r="H30" s="100">
        <f t="shared" si="1"/>
        <v>25</v>
      </c>
      <c r="I30" s="100">
        <f t="shared" si="1"/>
        <v>28</v>
      </c>
      <c r="J30" s="663"/>
    </row>
    <row r="31" spans="2:10">
      <c r="B31" s="24"/>
      <c r="C31" s="23"/>
      <c r="D31" s="23"/>
      <c r="E31" s="30"/>
      <c r="F31" s="30"/>
      <c r="G31" s="30"/>
      <c r="H31" s="30"/>
      <c r="I31" s="30"/>
      <c r="J31" s="664"/>
    </row>
    <row r="32" spans="2:10">
      <c r="B32" s="32" t="s">
        <v>229</v>
      </c>
      <c r="C32" s="23"/>
      <c r="D32" s="23"/>
      <c r="E32" s="26"/>
      <c r="F32" s="26"/>
      <c r="G32" s="26"/>
      <c r="H32" s="26"/>
      <c r="I32" s="26"/>
      <c r="J32" s="661"/>
    </row>
    <row r="33" spans="2:10">
      <c r="B33" s="27" t="s">
        <v>119</v>
      </c>
      <c r="C33" s="23"/>
      <c r="E33" s="93">
        <v>3</v>
      </c>
      <c r="F33" s="93">
        <v>3</v>
      </c>
      <c r="G33" s="93">
        <v>3</v>
      </c>
      <c r="H33" s="93">
        <v>3</v>
      </c>
      <c r="I33" s="93">
        <v>3</v>
      </c>
      <c r="J33" s="662"/>
    </row>
    <row r="34" spans="2:10">
      <c r="B34" s="27" t="s">
        <v>120</v>
      </c>
      <c r="C34" s="23"/>
      <c r="E34" s="93">
        <v>1</v>
      </c>
      <c r="F34" s="93">
        <v>1</v>
      </c>
      <c r="G34" s="93">
        <v>2</v>
      </c>
      <c r="H34" s="93">
        <v>2</v>
      </c>
      <c r="I34" s="93">
        <v>2</v>
      </c>
      <c r="J34" s="662"/>
    </row>
    <row r="35" spans="2:10">
      <c r="B35" s="27" t="s">
        <v>121</v>
      </c>
      <c r="C35" s="23"/>
      <c r="E35" s="93">
        <v>5</v>
      </c>
      <c r="F35" s="93">
        <v>5</v>
      </c>
      <c r="G35" s="93">
        <v>5</v>
      </c>
      <c r="H35" s="93">
        <v>5</v>
      </c>
      <c r="I35" s="93">
        <v>5</v>
      </c>
      <c r="J35" s="662"/>
    </row>
    <row r="36" spans="2:10">
      <c r="B36" s="27" t="s">
        <v>122</v>
      </c>
      <c r="C36" s="23"/>
      <c r="E36" s="93">
        <v>1</v>
      </c>
      <c r="F36" s="93">
        <v>1</v>
      </c>
      <c r="G36" s="93">
        <v>1</v>
      </c>
      <c r="H36" s="93">
        <v>1</v>
      </c>
      <c r="I36" s="93">
        <v>1</v>
      </c>
      <c r="J36" s="662"/>
    </row>
    <row r="37" spans="2:10">
      <c r="B37" s="27" t="s">
        <v>770</v>
      </c>
      <c r="C37" s="23"/>
      <c r="E37" s="93">
        <v>1</v>
      </c>
      <c r="F37" s="93">
        <v>1</v>
      </c>
      <c r="G37" s="93">
        <v>1</v>
      </c>
      <c r="H37" s="93">
        <v>1</v>
      </c>
      <c r="I37" s="93">
        <v>1</v>
      </c>
      <c r="J37" s="662"/>
    </row>
    <row r="38" spans="2:10">
      <c r="B38" s="29" t="s">
        <v>222</v>
      </c>
      <c r="C38" s="23"/>
      <c r="D38" s="23"/>
      <c r="E38" s="100">
        <f t="shared" ref="E38:I38" si="2">SUM(E33:E37)</f>
        <v>11</v>
      </c>
      <c r="F38" s="100">
        <f t="shared" si="2"/>
        <v>11</v>
      </c>
      <c r="G38" s="100">
        <f t="shared" si="2"/>
        <v>12</v>
      </c>
      <c r="H38" s="100">
        <f t="shared" si="2"/>
        <v>12</v>
      </c>
      <c r="I38" s="100">
        <f t="shared" si="2"/>
        <v>12</v>
      </c>
      <c r="J38" s="663"/>
    </row>
    <row r="39" spans="2:10">
      <c r="B39" s="24"/>
      <c r="C39" s="23"/>
      <c r="D39" s="23"/>
      <c r="E39" s="30"/>
      <c r="F39" s="30"/>
      <c r="G39" s="30"/>
      <c r="H39" s="30"/>
      <c r="I39" s="30"/>
      <c r="J39" s="664"/>
    </row>
    <row r="40" spans="2:10" ht="15.75" thickBot="1">
      <c r="B40" s="124" t="s">
        <v>223</v>
      </c>
      <c r="C40" s="37"/>
      <c r="D40" s="37"/>
      <c r="E40" s="154">
        <f>E22+E30+E38</f>
        <v>23</v>
      </c>
      <c r="F40" s="154">
        <f t="shared" ref="F40:I40" si="3">F22+F30+F38</f>
        <v>28</v>
      </c>
      <c r="G40" s="154">
        <f t="shared" si="3"/>
        <v>36</v>
      </c>
      <c r="H40" s="154">
        <f t="shared" si="3"/>
        <v>41</v>
      </c>
      <c r="I40" s="154">
        <f t="shared" si="3"/>
        <v>44</v>
      </c>
      <c r="J40" s="665"/>
    </row>
    <row r="41" spans="2:10">
      <c r="B41" s="31"/>
      <c r="E41" s="19"/>
      <c r="F41" s="19"/>
      <c r="G41" s="19"/>
      <c r="H41" s="19"/>
      <c r="I41" s="19"/>
      <c r="J41" s="666"/>
    </row>
    <row r="42" spans="2:10">
      <c r="B42" s="787" t="s">
        <v>108</v>
      </c>
      <c r="C42" s="751"/>
      <c r="D42" s="751"/>
      <c r="E42" s="751"/>
      <c r="F42" s="751"/>
      <c r="G42" s="751"/>
      <c r="H42" s="751"/>
      <c r="I42" s="751"/>
      <c r="J42" s="788"/>
    </row>
    <row r="43" spans="2:10">
      <c r="B43" s="8"/>
      <c r="E43" s="19"/>
      <c r="F43" s="19"/>
      <c r="G43" s="19"/>
      <c r="H43" s="19"/>
      <c r="I43" s="19"/>
      <c r="J43" s="666"/>
    </row>
    <row r="44" spans="2:10">
      <c r="B44" s="24"/>
      <c r="C44" s="23"/>
      <c r="D44" s="1"/>
      <c r="E44" s="25" t="s">
        <v>42</v>
      </c>
      <c r="F44" s="25" t="s">
        <v>43</v>
      </c>
      <c r="G44" s="25" t="s">
        <v>44</v>
      </c>
      <c r="H44" s="25" t="s">
        <v>45</v>
      </c>
      <c r="I44" s="25" t="s">
        <v>46</v>
      </c>
      <c r="J44" s="660"/>
    </row>
    <row r="45" spans="2:10">
      <c r="B45" s="24"/>
      <c r="C45" s="23"/>
      <c r="D45" s="1"/>
      <c r="E45" s="25" t="str">
        <f>E11</f>
        <v>2024-25</v>
      </c>
      <c r="F45" s="25" t="str">
        <f t="shared" ref="F45:I45" si="4">F11</f>
        <v>2025-26</v>
      </c>
      <c r="G45" s="25" t="str">
        <f t="shared" si="4"/>
        <v>2026-27</v>
      </c>
      <c r="H45" s="25" t="str">
        <f t="shared" si="4"/>
        <v>2027-28</v>
      </c>
      <c r="I45" s="25" t="str">
        <f t="shared" si="4"/>
        <v>2028-29</v>
      </c>
      <c r="J45" s="660"/>
    </row>
    <row r="46" spans="2:10">
      <c r="B46" s="24"/>
      <c r="C46" s="23"/>
      <c r="D46" s="1"/>
      <c r="E46" s="41"/>
      <c r="F46" s="41"/>
      <c r="G46" s="41"/>
      <c r="H46" s="41"/>
      <c r="I46" s="41"/>
      <c r="J46" s="660"/>
    </row>
    <row r="47" spans="2:10">
      <c r="B47" s="24"/>
      <c r="C47" s="42" t="s">
        <v>224</v>
      </c>
      <c r="D47" s="1"/>
      <c r="E47" s="69">
        <v>0</v>
      </c>
      <c r="F47" s="69">
        <v>0.03</v>
      </c>
      <c r="G47" s="69">
        <v>0.03</v>
      </c>
      <c r="H47" s="69">
        <v>0.03</v>
      </c>
      <c r="I47" s="69">
        <v>0.03</v>
      </c>
      <c r="J47" s="667"/>
    </row>
    <row r="48" spans="2:10">
      <c r="B48" s="24"/>
      <c r="C48" s="45" t="s">
        <v>87</v>
      </c>
      <c r="D48" s="1"/>
      <c r="E48" s="46">
        <f>100%+E47</f>
        <v>1</v>
      </c>
      <c r="F48" s="46">
        <f>E48*(1+F47)</f>
        <v>1.03</v>
      </c>
      <c r="G48" s="46">
        <f t="shared" ref="G48:I48" si="5">F48*(1+G47)</f>
        <v>1.0609</v>
      </c>
      <c r="H48" s="46">
        <f t="shared" si="5"/>
        <v>1.092727</v>
      </c>
      <c r="I48" s="46">
        <f t="shared" si="5"/>
        <v>1.1255088100000001</v>
      </c>
      <c r="J48" s="668"/>
    </row>
    <row r="49" spans="2:10">
      <c r="B49" s="24"/>
      <c r="C49" s="23"/>
      <c r="D49" s="1"/>
      <c r="E49" s="41"/>
      <c r="F49" s="41"/>
      <c r="G49" s="41"/>
      <c r="H49" s="41"/>
      <c r="I49" s="41"/>
      <c r="J49" s="660"/>
    </row>
    <row r="50" spans="2:10">
      <c r="B50" s="32" t="s">
        <v>225</v>
      </c>
      <c r="C50" s="42" t="s">
        <v>127</v>
      </c>
      <c r="D50" s="23"/>
      <c r="E50" s="26"/>
      <c r="F50" s="26"/>
      <c r="G50" s="26"/>
      <c r="H50" s="26"/>
      <c r="I50" s="26"/>
      <c r="J50" s="661"/>
    </row>
    <row r="51" spans="2:10">
      <c r="B51" s="34" t="str">
        <f>B17</f>
        <v>Principal/School Leader</v>
      </c>
      <c r="C51" s="65">
        <v>86760</v>
      </c>
      <c r="E51" s="58">
        <f>$C51*E17*E$48</f>
        <v>86760</v>
      </c>
      <c r="F51" s="58">
        <f>$C51*F17*F$48</f>
        <v>89362.8</v>
      </c>
      <c r="G51" s="58">
        <f t="shared" ref="G51:I51" si="6">$C51*G17*G$48</f>
        <v>92043.683999999994</v>
      </c>
      <c r="H51" s="58">
        <f t="shared" si="6"/>
        <v>94804.994520000007</v>
      </c>
      <c r="I51" s="58">
        <f t="shared" si="6"/>
        <v>97649.144355600016</v>
      </c>
      <c r="J51" s="669"/>
    </row>
    <row r="52" spans="2:10">
      <c r="B52" s="34" t="str">
        <f t="shared" ref="B52:B55" si="7">B18</f>
        <v>Assistant Principal</v>
      </c>
      <c r="C52" s="65">
        <v>70000</v>
      </c>
      <c r="E52" s="58">
        <f t="shared" ref="E52:I55" si="8">$C52*E18*E$48</f>
        <v>70000</v>
      </c>
      <c r="F52" s="58">
        <f t="shared" si="8"/>
        <v>72100</v>
      </c>
      <c r="G52" s="58">
        <f t="shared" si="8"/>
        <v>74263</v>
      </c>
      <c r="H52" s="58">
        <f t="shared" si="8"/>
        <v>76490.89</v>
      </c>
      <c r="I52" s="58">
        <f t="shared" si="8"/>
        <v>78785.616700000013</v>
      </c>
      <c r="J52" s="669"/>
    </row>
    <row r="53" spans="2:10">
      <c r="B53" s="34" t="str">
        <f t="shared" si="7"/>
        <v>Special Education Coordinator</v>
      </c>
      <c r="C53" s="65">
        <v>0</v>
      </c>
      <c r="E53" s="58">
        <f t="shared" si="8"/>
        <v>0</v>
      </c>
      <c r="F53" s="58">
        <f t="shared" si="8"/>
        <v>0</v>
      </c>
      <c r="G53" s="58">
        <f t="shared" si="8"/>
        <v>0</v>
      </c>
      <c r="H53" s="58">
        <f t="shared" si="8"/>
        <v>0</v>
      </c>
      <c r="I53" s="58">
        <f t="shared" si="8"/>
        <v>0</v>
      </c>
      <c r="J53" s="669"/>
    </row>
    <row r="54" spans="2:10">
      <c r="B54" s="34" t="str">
        <f t="shared" si="7"/>
        <v>Deans, Directors</v>
      </c>
      <c r="C54" s="65">
        <v>45000</v>
      </c>
      <c r="E54" s="58">
        <v>45000</v>
      </c>
      <c r="F54" s="58">
        <f t="shared" si="8"/>
        <v>46350</v>
      </c>
      <c r="G54" s="58">
        <f t="shared" si="8"/>
        <v>47740.5</v>
      </c>
      <c r="H54" s="58">
        <f t="shared" si="8"/>
        <v>49172.715000000004</v>
      </c>
      <c r="I54" s="58">
        <f t="shared" si="8"/>
        <v>50647.896450000007</v>
      </c>
      <c r="J54" s="669"/>
    </row>
    <row r="55" spans="2:10">
      <c r="B55" s="34" t="str">
        <f t="shared" si="7"/>
        <v>Counselor</v>
      </c>
      <c r="C55" s="65">
        <v>42000</v>
      </c>
      <c r="E55" s="58">
        <f t="shared" si="8"/>
        <v>0</v>
      </c>
      <c r="F55" s="58">
        <f t="shared" si="8"/>
        <v>0</v>
      </c>
      <c r="G55" s="58">
        <f t="shared" si="8"/>
        <v>44557.799999999996</v>
      </c>
      <c r="H55" s="58">
        <f t="shared" si="8"/>
        <v>45894.534</v>
      </c>
      <c r="I55" s="58">
        <f t="shared" si="8"/>
        <v>47271.370020000009</v>
      </c>
      <c r="J55" s="669"/>
    </row>
    <row r="56" spans="2:10" ht="30">
      <c r="B56" s="29" t="s">
        <v>226</v>
      </c>
      <c r="C56" s="23"/>
      <c r="D56" s="23"/>
      <c r="E56" s="60">
        <f t="shared" ref="E56:I56" si="9">SUM(E51:E55)</f>
        <v>201760</v>
      </c>
      <c r="F56" s="60">
        <f t="shared" si="9"/>
        <v>207812.8</v>
      </c>
      <c r="G56" s="60">
        <f t="shared" si="9"/>
        <v>258604.984</v>
      </c>
      <c r="H56" s="60">
        <f t="shared" si="9"/>
        <v>266363.13352000003</v>
      </c>
      <c r="I56" s="60">
        <f t="shared" si="9"/>
        <v>274354.02752560005</v>
      </c>
      <c r="J56" s="670"/>
    </row>
    <row r="57" spans="2:10">
      <c r="B57" s="24"/>
      <c r="C57" s="23"/>
      <c r="D57" s="23"/>
      <c r="E57" s="61"/>
      <c r="F57" s="61"/>
      <c r="G57" s="61"/>
      <c r="H57" s="61"/>
      <c r="I57" s="61"/>
      <c r="J57" s="670"/>
    </row>
    <row r="58" spans="2:10">
      <c r="B58" s="32" t="s">
        <v>227</v>
      </c>
      <c r="C58" s="23"/>
      <c r="D58" s="23"/>
      <c r="E58" s="63"/>
      <c r="F58" s="63"/>
      <c r="G58" s="63"/>
      <c r="H58" s="63"/>
      <c r="I58" s="63"/>
      <c r="J58" s="669"/>
    </row>
    <row r="59" spans="2:10">
      <c r="B59" s="34" t="str">
        <f>B25</f>
        <v>Teachers</v>
      </c>
      <c r="C59" s="65">
        <v>42000</v>
      </c>
      <c r="E59" s="58">
        <f t="shared" ref="E59" si="10">$C59*E25*E$48</f>
        <v>336000</v>
      </c>
      <c r="F59" s="58">
        <f t="shared" ref="F59:I59" si="11">$C59*F25*F$48</f>
        <v>519120</v>
      </c>
      <c r="G59" s="58">
        <f t="shared" si="11"/>
        <v>712924.79999999993</v>
      </c>
      <c r="H59" s="58">
        <f t="shared" si="11"/>
        <v>963785.21400000004</v>
      </c>
      <c r="I59" s="58">
        <f t="shared" si="11"/>
        <v>1134512.8804800001</v>
      </c>
      <c r="J59" s="669"/>
    </row>
    <row r="60" spans="2:10">
      <c r="B60" s="34" t="str">
        <f t="shared" ref="B60:B61" si="12">B26</f>
        <v>Special Education Teachers</v>
      </c>
      <c r="C60" s="65">
        <v>42000</v>
      </c>
      <c r="E60" s="58">
        <f t="shared" ref="E60:I63" si="13">$C60*E26*E$48</f>
        <v>42000</v>
      </c>
      <c r="F60" s="58">
        <f t="shared" si="13"/>
        <v>43260</v>
      </c>
      <c r="G60" s="58">
        <f t="shared" si="13"/>
        <v>89115.599999999991</v>
      </c>
      <c r="H60" s="58">
        <f t="shared" si="13"/>
        <v>91789.067999999999</v>
      </c>
      <c r="I60" s="58">
        <f t="shared" si="13"/>
        <v>94542.740040000019</v>
      </c>
      <c r="J60" s="669"/>
    </row>
    <row r="61" spans="2:10">
      <c r="B61" s="34" t="str">
        <f t="shared" si="12"/>
        <v>Educational Assistants/Aides</v>
      </c>
      <c r="C61" s="65">
        <v>0</v>
      </c>
      <c r="E61" s="58">
        <f t="shared" si="13"/>
        <v>0</v>
      </c>
      <c r="F61" s="58">
        <f t="shared" si="13"/>
        <v>0</v>
      </c>
      <c r="G61" s="58">
        <f t="shared" si="13"/>
        <v>0</v>
      </c>
      <c r="H61" s="58">
        <f t="shared" si="13"/>
        <v>0</v>
      </c>
      <c r="I61" s="58">
        <f t="shared" si="13"/>
        <v>0</v>
      </c>
      <c r="J61" s="669"/>
    </row>
    <row r="62" spans="2:10">
      <c r="B62" s="34" t="s">
        <v>773</v>
      </c>
      <c r="C62" s="65">
        <v>42000</v>
      </c>
      <c r="E62" s="58">
        <f t="shared" si="13"/>
        <v>42000</v>
      </c>
      <c r="F62" s="58">
        <f t="shared" si="13"/>
        <v>43260</v>
      </c>
      <c r="G62" s="58">
        <f t="shared" si="13"/>
        <v>44557.799999999996</v>
      </c>
      <c r="H62" s="58">
        <f t="shared" si="13"/>
        <v>45894.534</v>
      </c>
      <c r="I62" s="58">
        <f t="shared" si="13"/>
        <v>47271.370020000009</v>
      </c>
      <c r="J62" s="669"/>
    </row>
    <row r="63" spans="2:10">
      <c r="B63" s="34" t="s">
        <v>774</v>
      </c>
      <c r="C63" s="65">
        <v>42000</v>
      </c>
      <c r="E63" s="58">
        <f t="shared" si="13"/>
        <v>0</v>
      </c>
      <c r="F63" s="58">
        <f t="shared" si="13"/>
        <v>0</v>
      </c>
      <c r="G63" s="58">
        <f t="shared" si="13"/>
        <v>44557.799999999996</v>
      </c>
      <c r="H63" s="58">
        <f t="shared" si="13"/>
        <v>45894.534</v>
      </c>
      <c r="I63" s="58">
        <f t="shared" si="13"/>
        <v>47271.370020000009</v>
      </c>
      <c r="J63" s="669"/>
    </row>
    <row r="64" spans="2:10" ht="30">
      <c r="B64" s="29" t="s">
        <v>228</v>
      </c>
      <c r="C64" s="23"/>
      <c r="D64" s="23"/>
      <c r="E64" s="60">
        <f t="shared" ref="E64:I64" si="14">SUM(E59:E63)</f>
        <v>420000</v>
      </c>
      <c r="F64" s="60">
        <f t="shared" si="14"/>
        <v>605640</v>
      </c>
      <c r="G64" s="60">
        <f t="shared" si="14"/>
        <v>891156</v>
      </c>
      <c r="H64" s="60">
        <f t="shared" si="14"/>
        <v>1147363.3500000001</v>
      </c>
      <c r="I64" s="60">
        <f t="shared" si="14"/>
        <v>1323598.3605600002</v>
      </c>
      <c r="J64" s="670"/>
    </row>
    <row r="65" spans="2:10">
      <c r="B65" s="24"/>
      <c r="C65" s="23"/>
      <c r="D65" s="23"/>
      <c r="E65" s="61"/>
      <c r="F65" s="61"/>
      <c r="G65" s="61"/>
      <c r="H65" s="61"/>
      <c r="I65" s="61"/>
      <c r="J65" s="670"/>
    </row>
    <row r="66" spans="2:10">
      <c r="B66" s="32" t="s">
        <v>229</v>
      </c>
      <c r="C66" s="23"/>
      <c r="D66" s="23"/>
      <c r="E66" s="63"/>
      <c r="F66" s="63"/>
      <c r="G66" s="63"/>
      <c r="H66" s="63"/>
      <c r="I66" s="63"/>
      <c r="J66" s="669"/>
    </row>
    <row r="67" spans="2:10">
      <c r="B67" s="34" t="str">
        <f>B33</f>
        <v>Clerical Staff</v>
      </c>
      <c r="C67" s="65">
        <v>26000</v>
      </c>
      <c r="E67" s="58">
        <f t="shared" ref="E67" si="15">$C67*E33*E$48</f>
        <v>78000</v>
      </c>
      <c r="F67" s="58">
        <f t="shared" ref="F67:I67" si="16">$C67*F33*F$48</f>
        <v>80340</v>
      </c>
      <c r="G67" s="58">
        <f t="shared" si="16"/>
        <v>82750.2</v>
      </c>
      <c r="H67" s="58">
        <f t="shared" si="16"/>
        <v>85232.706000000006</v>
      </c>
      <c r="I67" s="58">
        <f t="shared" si="16"/>
        <v>87789.687180000008</v>
      </c>
      <c r="J67" s="669"/>
    </row>
    <row r="68" spans="2:10">
      <c r="B68" s="34" t="str">
        <f t="shared" ref="B68:B70" si="17">B34</f>
        <v>Custodial Staff</v>
      </c>
      <c r="C68" s="65">
        <v>22800</v>
      </c>
      <c r="E68" s="58">
        <f t="shared" ref="E68:I71" si="18">$C68*E34*E$48</f>
        <v>22800</v>
      </c>
      <c r="F68" s="58">
        <f t="shared" si="18"/>
        <v>23484</v>
      </c>
      <c r="G68" s="58">
        <f t="shared" si="18"/>
        <v>48377.04</v>
      </c>
      <c r="H68" s="58">
        <f t="shared" si="18"/>
        <v>49828.351199999997</v>
      </c>
      <c r="I68" s="58">
        <f t="shared" si="18"/>
        <v>51323.201736000003</v>
      </c>
      <c r="J68" s="669"/>
    </row>
    <row r="69" spans="2:10">
      <c r="B69" s="34" t="str">
        <f t="shared" si="17"/>
        <v>Operations</v>
      </c>
      <c r="C69" s="65">
        <v>48702</v>
      </c>
      <c r="E69" s="58">
        <f t="shared" si="18"/>
        <v>243510</v>
      </c>
      <c r="F69" s="58">
        <f t="shared" si="18"/>
        <v>250815.30000000002</v>
      </c>
      <c r="G69" s="58">
        <f t="shared" si="18"/>
        <v>258339.75899999999</v>
      </c>
      <c r="H69" s="58">
        <f t="shared" si="18"/>
        <v>266089.95176999999</v>
      </c>
      <c r="I69" s="58">
        <f t="shared" si="18"/>
        <v>274072.65032310004</v>
      </c>
      <c r="J69" s="669"/>
    </row>
    <row r="70" spans="2:10">
      <c r="B70" s="34" t="str">
        <f t="shared" si="17"/>
        <v>Social Workers/Counseling</v>
      </c>
      <c r="C70" s="65">
        <v>37372</v>
      </c>
      <c r="E70" s="58">
        <f t="shared" si="18"/>
        <v>37372</v>
      </c>
      <c r="F70" s="58">
        <f t="shared" si="18"/>
        <v>38493.160000000003</v>
      </c>
      <c r="G70" s="58">
        <f t="shared" si="18"/>
        <v>39647.9548</v>
      </c>
      <c r="H70" s="58">
        <f t="shared" si="18"/>
        <v>40837.393444000001</v>
      </c>
      <c r="I70" s="58">
        <f t="shared" si="18"/>
        <v>42062.515247320007</v>
      </c>
      <c r="J70" s="669"/>
    </row>
    <row r="71" spans="2:10">
      <c r="B71" s="34" t="s">
        <v>770</v>
      </c>
      <c r="C71" s="65">
        <v>26000</v>
      </c>
      <c r="E71" s="58">
        <f t="shared" si="18"/>
        <v>26000</v>
      </c>
      <c r="F71" s="58">
        <f t="shared" si="18"/>
        <v>26780</v>
      </c>
      <c r="G71" s="58">
        <f t="shared" si="18"/>
        <v>27583.399999999998</v>
      </c>
      <c r="H71" s="58">
        <f t="shared" si="18"/>
        <v>28410.902000000002</v>
      </c>
      <c r="I71" s="58">
        <f t="shared" si="18"/>
        <v>29263.229060000005</v>
      </c>
      <c r="J71" s="669"/>
    </row>
    <row r="72" spans="2:10" ht="30">
      <c r="B72" s="29" t="s">
        <v>230</v>
      </c>
      <c r="C72" s="23"/>
      <c r="D72" s="23"/>
      <c r="E72" s="60">
        <f t="shared" ref="E72:I72" si="19">SUM(E67:E71)</f>
        <v>407682</v>
      </c>
      <c r="F72" s="60">
        <f t="shared" si="19"/>
        <v>419912.46000000008</v>
      </c>
      <c r="G72" s="60">
        <f t="shared" si="19"/>
        <v>456698.35379999998</v>
      </c>
      <c r="H72" s="60">
        <f t="shared" si="19"/>
        <v>470399.30441399995</v>
      </c>
      <c r="I72" s="60">
        <f t="shared" si="19"/>
        <v>484511.28354642005</v>
      </c>
      <c r="J72" s="670"/>
    </row>
    <row r="73" spans="2:10">
      <c r="B73" s="24"/>
      <c r="C73" s="23"/>
      <c r="D73" s="23"/>
      <c r="E73" s="61"/>
      <c r="F73" s="61"/>
      <c r="G73" s="61"/>
      <c r="H73" s="61"/>
      <c r="I73" s="61"/>
      <c r="J73" s="670"/>
    </row>
    <row r="74" spans="2:10">
      <c r="B74" s="67" t="s">
        <v>775</v>
      </c>
      <c r="C74" s="23"/>
      <c r="D74" s="23"/>
      <c r="E74" s="66">
        <v>25000</v>
      </c>
      <c r="F74" s="66">
        <v>28000</v>
      </c>
      <c r="G74" s="66">
        <v>39600</v>
      </c>
      <c r="H74" s="66">
        <v>56000</v>
      </c>
      <c r="I74" s="66">
        <v>60000</v>
      </c>
      <c r="J74" s="671"/>
    </row>
    <row r="75" spans="2:10">
      <c r="B75" s="67" t="s">
        <v>776</v>
      </c>
      <c r="C75" s="23"/>
      <c r="D75" s="23"/>
      <c r="E75" s="66"/>
      <c r="F75" s="66"/>
      <c r="G75" s="66">
        <v>6242</v>
      </c>
      <c r="H75" s="66">
        <v>6367</v>
      </c>
      <c r="I75" s="66">
        <v>8118</v>
      </c>
      <c r="J75" s="671"/>
    </row>
    <row r="76" spans="2:10">
      <c r="B76" s="67" t="s">
        <v>777</v>
      </c>
      <c r="C76" s="23"/>
      <c r="D76" s="23"/>
      <c r="E76" s="66">
        <v>39270</v>
      </c>
      <c r="F76" s="66">
        <v>39270</v>
      </c>
      <c r="G76" s="66">
        <v>39270</v>
      </c>
      <c r="H76" s="66">
        <v>39270</v>
      </c>
      <c r="I76" s="66">
        <v>39270</v>
      </c>
      <c r="J76" s="671"/>
    </row>
    <row r="77" spans="2:10">
      <c r="B77" s="67" t="s">
        <v>778</v>
      </c>
      <c r="C77" s="23"/>
      <c r="D77" s="23"/>
      <c r="E77" s="66">
        <v>3100</v>
      </c>
      <c r="F77" s="66">
        <v>3100</v>
      </c>
      <c r="G77" s="66">
        <v>3100</v>
      </c>
      <c r="H77" s="66">
        <v>9000</v>
      </c>
      <c r="I77" s="66">
        <v>9500</v>
      </c>
      <c r="J77" s="671"/>
    </row>
    <row r="78" spans="2:10">
      <c r="B78" s="24"/>
      <c r="C78" s="23"/>
      <c r="D78" s="23"/>
      <c r="E78" s="61"/>
      <c r="F78" s="61"/>
      <c r="G78" s="61"/>
      <c r="H78" s="61"/>
      <c r="I78" s="61"/>
      <c r="J78" s="670"/>
    </row>
    <row r="79" spans="2:10" ht="15.75" thickBot="1">
      <c r="B79" s="124" t="s">
        <v>231</v>
      </c>
      <c r="C79" s="37"/>
      <c r="D79" s="37"/>
      <c r="E79" s="151">
        <f>E56+E64+E72+SUM(E74:E77)</f>
        <v>1096812</v>
      </c>
      <c r="F79" s="151">
        <f t="shared" ref="F79:I79" si="20">F56+F64+F72+SUM(F74:F77)</f>
        <v>1303735.2600000002</v>
      </c>
      <c r="G79" s="151">
        <f t="shared" si="20"/>
        <v>1694671.3377999999</v>
      </c>
      <c r="H79" s="151">
        <f t="shared" si="20"/>
        <v>1994762.7879340001</v>
      </c>
      <c r="I79" s="151">
        <f t="shared" si="20"/>
        <v>2199351.6716320203</v>
      </c>
      <c r="J79" s="672"/>
    </row>
    <row r="80" spans="2:10">
      <c r="B80" s="126"/>
      <c r="C80" s="127"/>
      <c r="D80" s="152"/>
      <c r="E80" s="153"/>
      <c r="F80" s="153"/>
      <c r="G80" s="153"/>
      <c r="H80" s="153"/>
      <c r="I80" s="153"/>
      <c r="J80" s="673"/>
    </row>
    <row r="81" spans="2:10">
      <c r="B81" s="787" t="s">
        <v>126</v>
      </c>
      <c r="C81" s="751"/>
      <c r="D81" s="751"/>
      <c r="E81" s="751"/>
      <c r="F81" s="751"/>
      <c r="G81" s="751"/>
      <c r="H81" s="751"/>
      <c r="I81" s="751"/>
      <c r="J81" s="788"/>
    </row>
    <row r="82" spans="2:10">
      <c r="B82" s="24"/>
      <c r="C82" s="23"/>
      <c r="D82" s="1"/>
      <c r="E82" s="41"/>
      <c r="F82" s="41"/>
      <c r="G82" s="41"/>
      <c r="H82" s="41"/>
      <c r="I82" s="41"/>
      <c r="J82" s="660"/>
    </row>
    <row r="83" spans="2:10">
      <c r="B83" s="24"/>
      <c r="C83" s="23"/>
      <c r="D83" s="1"/>
      <c r="E83" s="25" t="s">
        <v>42</v>
      </c>
      <c r="F83" s="25" t="s">
        <v>43</v>
      </c>
      <c r="G83" s="25" t="s">
        <v>44</v>
      </c>
      <c r="H83" s="25" t="s">
        <v>45</v>
      </c>
      <c r="I83" s="25" t="s">
        <v>46</v>
      </c>
      <c r="J83" s="660"/>
    </row>
    <row r="84" spans="2:10">
      <c r="B84" s="24"/>
      <c r="C84" s="23"/>
      <c r="D84" s="1"/>
      <c r="E84" s="25" t="str">
        <f>E11</f>
        <v>2024-25</v>
      </c>
      <c r="F84" s="25" t="str">
        <f t="shared" ref="F84:I84" si="21">F11</f>
        <v>2025-26</v>
      </c>
      <c r="G84" s="25" t="str">
        <f t="shared" si="21"/>
        <v>2026-27</v>
      </c>
      <c r="H84" s="25" t="str">
        <f t="shared" si="21"/>
        <v>2027-28</v>
      </c>
      <c r="I84" s="25" t="str">
        <f t="shared" si="21"/>
        <v>2028-29</v>
      </c>
      <c r="J84" s="660"/>
    </row>
    <row r="85" spans="2:10">
      <c r="B85" s="24"/>
      <c r="C85" s="42" t="s">
        <v>127</v>
      </c>
      <c r="D85" s="1"/>
      <c r="E85" s="41"/>
      <c r="F85" s="41"/>
      <c r="G85" s="41"/>
      <c r="H85" s="41"/>
      <c r="I85" s="41"/>
      <c r="J85" s="660"/>
    </row>
    <row r="86" spans="2:10">
      <c r="B86" s="34" t="s">
        <v>232</v>
      </c>
      <c r="C86" s="69">
        <v>6.2E-2</v>
      </c>
      <c r="D86" s="1"/>
      <c r="E86" s="65">
        <f>C86*E79</f>
        <v>68002.343999999997</v>
      </c>
      <c r="F86" s="65">
        <f>F79*C86</f>
        <v>80831.586120000007</v>
      </c>
      <c r="G86" s="65">
        <f>G79*C86</f>
        <v>105069.62294359998</v>
      </c>
      <c r="H86" s="65">
        <f>H79*C86</f>
        <v>123675.292851908</v>
      </c>
      <c r="I86" s="65">
        <f>I79*C86</f>
        <v>136359.80364118525</v>
      </c>
      <c r="J86" s="674"/>
    </row>
    <row r="87" spans="2:10">
      <c r="B87" s="34" t="s">
        <v>233</v>
      </c>
      <c r="C87" s="69">
        <v>1.4500000000000001E-2</v>
      </c>
      <c r="D87" s="1"/>
      <c r="E87" s="65">
        <f>C87*E79</f>
        <v>15903.774000000001</v>
      </c>
      <c r="F87" s="65">
        <f>C87*F79</f>
        <v>18904.161270000004</v>
      </c>
      <c r="G87" s="65">
        <f>C87*G79</f>
        <v>24572.734398099998</v>
      </c>
      <c r="H87" s="65">
        <f>C87*H79</f>
        <v>28924.060425043004</v>
      </c>
      <c r="I87" s="65">
        <f>C87*I79</f>
        <v>31890.599238664294</v>
      </c>
      <c r="J87" s="674"/>
    </row>
    <row r="88" spans="2:10">
      <c r="B88" s="34" t="s">
        <v>234</v>
      </c>
      <c r="C88" s="159" t="s">
        <v>128</v>
      </c>
      <c r="D88" s="1"/>
      <c r="E88" s="65">
        <f>400*E40</f>
        <v>9200</v>
      </c>
      <c r="F88" s="65">
        <f>400*F40</f>
        <v>11200</v>
      </c>
      <c r="G88" s="65">
        <f>400*G40</f>
        <v>14400</v>
      </c>
      <c r="H88" s="65">
        <f>400*H40</f>
        <v>16400</v>
      </c>
      <c r="I88" s="65">
        <f>400*I40</f>
        <v>17600</v>
      </c>
      <c r="J88" s="674"/>
    </row>
    <row r="89" spans="2:10">
      <c r="B89" s="34" t="s">
        <v>235</v>
      </c>
      <c r="C89" s="69">
        <v>3.3E-3</v>
      </c>
      <c r="D89" s="1"/>
      <c r="E89" s="65">
        <f>C89*E79</f>
        <v>3619.4796000000001</v>
      </c>
      <c r="F89" s="65">
        <f>C89*F79</f>
        <v>4302.3263580000012</v>
      </c>
      <c r="G89" s="65">
        <f>C89*G79</f>
        <v>5592.4154147399995</v>
      </c>
      <c r="H89" s="65">
        <f>C89*H79</f>
        <v>6582.7172001822</v>
      </c>
      <c r="I89" s="65">
        <f>C89*I79</f>
        <v>7257.8605163856664</v>
      </c>
      <c r="J89" s="674"/>
    </row>
    <row r="90" spans="2:10">
      <c r="B90" s="34" t="s">
        <v>236</v>
      </c>
      <c r="C90" s="69">
        <v>3.3999999999999998E-3</v>
      </c>
      <c r="D90" s="1"/>
      <c r="E90" s="65">
        <f>C90*E79</f>
        <v>3729.1607999999997</v>
      </c>
      <c r="F90" s="65">
        <f>C90*F79</f>
        <v>4432.6998840000006</v>
      </c>
      <c r="G90" s="65">
        <f>C90*G79</f>
        <v>5761.8825485199995</v>
      </c>
      <c r="H90" s="65">
        <f>C90*H79</f>
        <v>6782.1934789755996</v>
      </c>
      <c r="I90" s="65">
        <f>C90*I79</f>
        <v>7477.7956835488685</v>
      </c>
      <c r="J90" s="674"/>
    </row>
    <row r="91" spans="2:10">
      <c r="B91" s="34" t="s">
        <v>237</v>
      </c>
      <c r="C91" s="69">
        <v>0</v>
      </c>
      <c r="D91" s="1"/>
      <c r="E91" s="65">
        <f>C91*E79</f>
        <v>0</v>
      </c>
      <c r="F91" s="65">
        <f>C91*F79</f>
        <v>0</v>
      </c>
      <c r="G91" s="65">
        <f>C91*G79</f>
        <v>0</v>
      </c>
      <c r="H91" s="65">
        <f>C91*H79</f>
        <v>0</v>
      </c>
      <c r="I91" s="65">
        <f>C91*I79</f>
        <v>0</v>
      </c>
      <c r="J91" s="674"/>
    </row>
    <row r="92" spans="2:10">
      <c r="B92" s="24"/>
      <c r="C92" s="23"/>
      <c r="D92" s="1"/>
      <c r="E92" s="41"/>
      <c r="F92" s="41"/>
      <c r="G92" s="41"/>
      <c r="H92" s="41"/>
      <c r="I92" s="41"/>
      <c r="J92" s="660"/>
    </row>
    <row r="93" spans="2:10" ht="30">
      <c r="B93" s="24"/>
      <c r="C93" s="675" t="s">
        <v>238</v>
      </c>
      <c r="D93" s="1"/>
      <c r="E93" s="69">
        <v>0</v>
      </c>
      <c r="F93" s="69">
        <v>0</v>
      </c>
      <c r="G93" s="69">
        <v>0</v>
      </c>
      <c r="H93" s="69">
        <v>0</v>
      </c>
      <c r="I93" s="69">
        <v>0</v>
      </c>
      <c r="J93" s="667"/>
    </row>
    <row r="94" spans="2:10">
      <c r="B94" s="24"/>
      <c r="C94" s="45" t="s">
        <v>87</v>
      </c>
      <c r="D94" s="1"/>
      <c r="E94" s="46">
        <f>100%+E93</f>
        <v>1</v>
      </c>
      <c r="F94" s="46">
        <f>E94*(1+F93)</f>
        <v>1</v>
      </c>
      <c r="G94" s="46">
        <f t="shared" ref="G94:I94" si="22">F94*(1+G93)</f>
        <v>1</v>
      </c>
      <c r="H94" s="46">
        <f t="shared" si="22"/>
        <v>1</v>
      </c>
      <c r="I94" s="46">
        <f t="shared" si="22"/>
        <v>1</v>
      </c>
      <c r="J94" s="668"/>
    </row>
    <row r="95" spans="2:10">
      <c r="B95" s="24"/>
      <c r="C95" s="23"/>
      <c r="D95" s="1"/>
      <c r="E95" s="41"/>
      <c r="F95" s="41"/>
      <c r="G95" s="41"/>
      <c r="H95" s="41"/>
      <c r="I95" s="41"/>
      <c r="J95" s="660"/>
    </row>
    <row r="96" spans="2:10">
      <c r="B96" s="34" t="s">
        <v>239</v>
      </c>
      <c r="C96" s="65">
        <v>7229</v>
      </c>
      <c r="D96" s="1"/>
      <c r="E96" s="65">
        <f>C96*E40</f>
        <v>166267</v>
      </c>
      <c r="F96" s="65">
        <f>C96*F40</f>
        <v>202412</v>
      </c>
      <c r="G96" s="65">
        <f>C96*G40</f>
        <v>260244</v>
      </c>
      <c r="H96" s="65">
        <f>C96*H40</f>
        <v>296389</v>
      </c>
      <c r="I96" s="65">
        <f>C96*I40</f>
        <v>318076</v>
      </c>
      <c r="J96" s="674"/>
    </row>
    <row r="97" spans="2:10">
      <c r="B97" s="34" t="s">
        <v>240</v>
      </c>
      <c r="C97" s="65">
        <v>545</v>
      </c>
      <c r="D97" s="1"/>
      <c r="E97" s="65">
        <f>C97*E40</f>
        <v>12535</v>
      </c>
      <c r="F97" s="65">
        <f>C97*F40</f>
        <v>15260</v>
      </c>
      <c r="G97" s="65">
        <f>C97*G40</f>
        <v>19620</v>
      </c>
      <c r="H97" s="65">
        <f>C97*H40</f>
        <v>22345</v>
      </c>
      <c r="I97" s="65">
        <f>C97*I40</f>
        <v>23980</v>
      </c>
      <c r="J97" s="674"/>
    </row>
    <row r="98" spans="2:10">
      <c r="B98" s="34" t="s">
        <v>241</v>
      </c>
      <c r="C98" s="65">
        <v>0</v>
      </c>
      <c r="D98" s="1"/>
      <c r="E98" s="65">
        <f>C98*E40</f>
        <v>0</v>
      </c>
      <c r="F98" s="65">
        <f>C98*F40</f>
        <v>0</v>
      </c>
      <c r="G98" s="65">
        <f>C98*G40</f>
        <v>0</v>
      </c>
      <c r="H98" s="65">
        <f>C98*H40</f>
        <v>0</v>
      </c>
      <c r="I98" s="65">
        <f>C98*I40</f>
        <v>0</v>
      </c>
      <c r="J98" s="674"/>
    </row>
    <row r="99" spans="2:10">
      <c r="B99" s="24"/>
      <c r="C99" s="23"/>
      <c r="D99" s="1"/>
      <c r="E99" s="41"/>
      <c r="F99" s="41"/>
      <c r="G99" s="41"/>
      <c r="H99" s="41"/>
      <c r="I99" s="41"/>
      <c r="J99" s="660"/>
    </row>
    <row r="100" spans="2:10">
      <c r="B100" s="34" t="s">
        <v>242</v>
      </c>
      <c r="C100" s="69">
        <v>0</v>
      </c>
      <c r="D100" s="1"/>
      <c r="E100" s="65">
        <f>$C$100*E$79</f>
        <v>0</v>
      </c>
      <c r="F100" s="65">
        <f t="shared" ref="F100:I100" si="23">$C$100*F$79</f>
        <v>0</v>
      </c>
      <c r="G100" s="65">
        <f t="shared" si="23"/>
        <v>0</v>
      </c>
      <c r="H100" s="65">
        <f t="shared" si="23"/>
        <v>0</v>
      </c>
      <c r="I100" s="65">
        <f t="shared" si="23"/>
        <v>0</v>
      </c>
      <c r="J100" s="674"/>
    </row>
    <row r="101" spans="2:10">
      <c r="B101" s="34" t="s">
        <v>243</v>
      </c>
      <c r="C101" s="69">
        <v>0.09</v>
      </c>
      <c r="D101" s="1"/>
      <c r="E101" s="65">
        <f>$C$101*E$79</f>
        <v>98713.08</v>
      </c>
      <c r="F101" s="65">
        <f>$C$101*F$79</f>
        <v>117336.17340000001</v>
      </c>
      <c r="G101" s="65">
        <f>$C$101*G$79</f>
        <v>152520.42040199999</v>
      </c>
      <c r="H101" s="65">
        <f>$C$101*H$79</f>
        <v>179528.65091406001</v>
      </c>
      <c r="I101" s="65">
        <f>$C$101*I$79</f>
        <v>197941.65044688183</v>
      </c>
      <c r="J101" s="674"/>
    </row>
    <row r="102" spans="2:10">
      <c r="B102" s="34" t="s">
        <v>244</v>
      </c>
      <c r="C102" s="69">
        <v>0</v>
      </c>
      <c r="D102" s="1"/>
      <c r="E102" s="65">
        <f>$C$102*E$79</f>
        <v>0</v>
      </c>
      <c r="F102" s="65">
        <f>$C$102*F$79</f>
        <v>0</v>
      </c>
      <c r="G102" s="65">
        <f>$C$102*G$79</f>
        <v>0</v>
      </c>
      <c r="H102" s="65">
        <f>$C$102*H$79</f>
        <v>0</v>
      </c>
      <c r="I102" s="65">
        <f>$C$102*I$79</f>
        <v>0</v>
      </c>
      <c r="J102" s="674"/>
    </row>
    <row r="103" spans="2:10">
      <c r="B103" s="34" t="s">
        <v>245</v>
      </c>
      <c r="C103" s="69">
        <v>0</v>
      </c>
      <c r="D103" s="1"/>
      <c r="E103" s="65">
        <f>$C$103*E$79</f>
        <v>0</v>
      </c>
      <c r="F103" s="65">
        <f>$C$103*F$79</f>
        <v>0</v>
      </c>
      <c r="G103" s="65">
        <f>$C$103*G$79</f>
        <v>0</v>
      </c>
      <c r="H103" s="65">
        <f>$C$103*H$79</f>
        <v>0</v>
      </c>
      <c r="I103" s="65">
        <f>$C$103*I$79</f>
        <v>0</v>
      </c>
      <c r="J103" s="674"/>
    </row>
    <row r="104" spans="2:10">
      <c r="B104" s="34" t="s">
        <v>246</v>
      </c>
      <c r="C104" s="69">
        <v>0</v>
      </c>
      <c r="D104" s="1"/>
      <c r="E104" s="65">
        <f>$C$104*E$79</f>
        <v>0</v>
      </c>
      <c r="F104" s="65">
        <f>$C$104*F$79</f>
        <v>0</v>
      </c>
      <c r="G104" s="65">
        <f>$C$104*G$79</f>
        <v>0</v>
      </c>
      <c r="H104" s="65">
        <f>$C$104*H$79</f>
        <v>0</v>
      </c>
      <c r="I104" s="65">
        <f>$C$104*I$79</f>
        <v>0</v>
      </c>
      <c r="J104" s="674"/>
    </row>
    <row r="105" spans="2:10">
      <c r="B105" s="34" t="s">
        <v>247</v>
      </c>
      <c r="C105" s="69">
        <v>0</v>
      </c>
      <c r="D105" s="1"/>
      <c r="E105" s="65">
        <f>$C$105*E$79</f>
        <v>0</v>
      </c>
      <c r="F105" s="65">
        <f>$C$105*F$79</f>
        <v>0</v>
      </c>
      <c r="G105" s="65">
        <f>$C$105*G$79</f>
        <v>0</v>
      </c>
      <c r="H105" s="65">
        <f>$C$105*H$79</f>
        <v>0</v>
      </c>
      <c r="I105" s="65">
        <f>$C$105*I$79</f>
        <v>0</v>
      </c>
      <c r="J105" s="674"/>
    </row>
    <row r="106" spans="2:10" ht="15.75" thickBot="1">
      <c r="B106" s="36"/>
      <c r="C106" s="37"/>
      <c r="D106" s="37"/>
      <c r="E106" s="38"/>
      <c r="F106" s="38"/>
      <c r="G106" s="38"/>
      <c r="H106" s="38"/>
      <c r="I106" s="38"/>
      <c r="J106" s="676"/>
    </row>
  </sheetData>
  <mergeCells count="6">
    <mergeCell ref="B81:J81"/>
    <mergeCell ref="B3:J3"/>
    <mergeCell ref="B4:J4"/>
    <mergeCell ref="B5:J5"/>
    <mergeCell ref="B8:J8"/>
    <mergeCell ref="B42:J42"/>
  </mergeCells>
  <pageMargins left="0.25" right="0.25" top="0.75" bottom="0.75" header="0.3" footer="0.3"/>
  <pageSetup scale="65" orientation="portrait" horizontalDpi="1200" verticalDpi="120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M193"/>
  <sheetViews>
    <sheetView topLeftCell="A171" zoomScale="75" zoomScaleNormal="75" zoomScaleSheetLayoutView="100" workbookViewId="0">
      <selection activeCell="E45" sqref="E45"/>
    </sheetView>
  </sheetViews>
  <sheetFormatPr defaultColWidth="8.7109375" defaultRowHeight="15"/>
  <cols>
    <col min="1" max="1" width="4.7109375" customWidth="1"/>
    <col min="2" max="2" width="42.28515625" bestFit="1" customWidth="1"/>
    <col min="3" max="3" width="23.28515625" customWidth="1"/>
    <col min="4" max="4" width="3.28515625" customWidth="1"/>
    <col min="5" max="5" width="25.28515625" customWidth="1"/>
    <col min="6" max="6" width="94.85546875" bestFit="1" customWidth="1"/>
    <col min="7" max="9" width="4.7109375" customWidth="1"/>
    <col min="13" max="13" width="10.7109375" bestFit="1" customWidth="1"/>
  </cols>
  <sheetData>
    <row r="1" spans="1:13" ht="15.75" thickBot="1"/>
    <row r="2" spans="1:13">
      <c r="B2" s="5"/>
      <c r="C2" s="6"/>
      <c r="D2" s="6"/>
      <c r="E2" s="6"/>
      <c r="F2" s="6"/>
      <c r="G2" s="6"/>
      <c r="H2" s="7"/>
    </row>
    <row r="3" spans="1:13" ht="18.75">
      <c r="B3" s="8"/>
      <c r="E3" s="10" t="str">
        <f>IF('1) Proposed School Information'!E12="","ENTER SCHOOL NAME ON PROPOSED SCHOOL INFO SHEET",'1) Proposed School Information'!E12)</f>
        <v>Knoxville Prep</v>
      </c>
      <c r="F3" s="10"/>
      <c r="H3" s="9"/>
    </row>
    <row r="4" spans="1:13" ht="18.75">
      <c r="B4" s="8"/>
      <c r="E4" s="10" t="s">
        <v>14</v>
      </c>
      <c r="F4" s="10"/>
      <c r="H4" s="9"/>
    </row>
    <row r="5" spans="1:13" ht="18.75">
      <c r="B5" s="8"/>
      <c r="E5" s="10" t="s">
        <v>248</v>
      </c>
      <c r="F5" s="10"/>
      <c r="H5" s="9"/>
    </row>
    <row r="6" spans="1:13">
      <c r="B6" s="8"/>
      <c r="H6" s="9"/>
    </row>
    <row r="7" spans="1:13">
      <c r="B7" s="8"/>
      <c r="H7" s="9"/>
      <c r="K7" t="s">
        <v>592</v>
      </c>
      <c r="M7" s="122">
        <f>E49-E188</f>
        <v>51529.520512109157</v>
      </c>
    </row>
    <row r="8" spans="1:13" ht="14.85" customHeight="1">
      <c r="B8" s="8"/>
      <c r="C8" s="751" t="s">
        <v>84</v>
      </c>
      <c r="D8" s="762"/>
      <c r="E8" s="762"/>
      <c r="F8" s="762"/>
      <c r="H8" s="9"/>
    </row>
    <row r="9" spans="1:13">
      <c r="B9" s="8"/>
      <c r="H9" s="9"/>
    </row>
    <row r="10" spans="1:13">
      <c r="A10" s="23"/>
      <c r="B10" s="24"/>
      <c r="C10" s="23"/>
      <c r="D10" s="1"/>
      <c r="E10" s="25" t="s">
        <v>42</v>
      </c>
      <c r="F10" s="41"/>
      <c r="H10" s="9"/>
    </row>
    <row r="11" spans="1:13">
      <c r="A11" s="23"/>
      <c r="B11" s="24"/>
      <c r="C11" s="23"/>
      <c r="D11" s="1"/>
      <c r="E11" s="25" t="str">
        <f>IF('1) Proposed School Information'!E21="Select Year"," ",'1) Proposed School Information'!E21)</f>
        <v>2024-25</v>
      </c>
      <c r="F11" s="41"/>
      <c r="H11" s="9"/>
    </row>
    <row r="12" spans="1:13">
      <c r="A12" s="23"/>
      <c r="B12" s="24"/>
      <c r="C12" s="42" t="s">
        <v>86</v>
      </c>
      <c r="D12" s="1"/>
      <c r="E12" s="43">
        <v>0</v>
      </c>
      <c r="F12" s="44"/>
      <c r="H12" s="9"/>
    </row>
    <row r="13" spans="1:13">
      <c r="A13" s="23"/>
      <c r="B13" s="24"/>
      <c r="C13" s="45" t="s">
        <v>87</v>
      </c>
      <c r="D13" s="1"/>
      <c r="E13" s="46">
        <f>100%+E12</f>
        <v>1</v>
      </c>
      <c r="F13" s="46"/>
      <c r="H13" s="9"/>
    </row>
    <row r="14" spans="1:13">
      <c r="A14" s="23"/>
      <c r="B14" s="24"/>
      <c r="C14" s="45"/>
      <c r="D14" s="1"/>
      <c r="E14" s="46"/>
      <c r="F14" s="46"/>
      <c r="H14" s="9"/>
    </row>
    <row r="15" spans="1:13">
      <c r="A15" s="23"/>
      <c r="B15" s="24" t="s">
        <v>218</v>
      </c>
      <c r="C15" s="45"/>
      <c r="D15" s="1"/>
      <c r="E15" s="650">
        <f>'2) Student Assumptions'!E$29</f>
        <v>105</v>
      </c>
      <c r="F15" s="651" t="s">
        <v>792</v>
      </c>
      <c r="H15" s="9"/>
    </row>
    <row r="16" spans="1:13">
      <c r="A16" s="23"/>
      <c r="B16" s="24"/>
      <c r="C16" s="45"/>
      <c r="D16" s="1"/>
      <c r="E16" s="46"/>
      <c r="F16" s="46"/>
      <c r="H16" s="9"/>
    </row>
    <row r="17" spans="1:8">
      <c r="A17" s="23"/>
      <c r="B17" s="24"/>
      <c r="C17" s="644"/>
      <c r="D17" s="1"/>
      <c r="E17" s="645"/>
      <c r="F17" s="46"/>
      <c r="H17" s="9"/>
    </row>
    <row r="18" spans="1:8">
      <c r="B18" s="32" t="s">
        <v>92</v>
      </c>
      <c r="C18" s="42" t="s">
        <v>89</v>
      </c>
      <c r="D18" s="23"/>
      <c r="E18" s="645"/>
      <c r="F18" s="47" t="s">
        <v>91</v>
      </c>
      <c r="H18" s="9"/>
    </row>
    <row r="19" spans="1:8">
      <c r="B19" s="34" t="s">
        <v>273</v>
      </c>
      <c r="C19" s="65">
        <f>'TISA Calculator Tracker'!V38</f>
        <v>6860</v>
      </c>
      <c r="E19" s="65">
        <f>C19*$E$15</f>
        <v>720300</v>
      </c>
      <c r="F19" s="106"/>
      <c r="H19" s="9"/>
    </row>
    <row r="20" spans="1:8">
      <c r="B20" s="34" t="s">
        <v>256</v>
      </c>
      <c r="C20" s="65">
        <f>'TISA Calculator Tracker'!V39</f>
        <v>1822.4619896391312</v>
      </c>
      <c r="E20" s="65">
        <f t="shared" ref="E20:E21" si="0">C20*$E$15</f>
        <v>191358.50891210878</v>
      </c>
      <c r="F20" s="106" t="s">
        <v>797</v>
      </c>
      <c r="H20" s="9"/>
    </row>
    <row r="21" spans="1:8">
      <c r="B21" s="34" t="s">
        <v>257</v>
      </c>
      <c r="C21" s="65">
        <f>'TISA Calculator Tracker'!V40</f>
        <v>500</v>
      </c>
      <c r="E21" s="65">
        <f t="shared" si="0"/>
        <v>52500</v>
      </c>
      <c r="F21" s="106" t="s">
        <v>796</v>
      </c>
      <c r="H21" s="9"/>
    </row>
    <row r="22" spans="1:8">
      <c r="B22" s="646" t="s">
        <v>801</v>
      </c>
      <c r="C22" s="65"/>
      <c r="D22" s="647"/>
      <c r="E22" s="65">
        <v>85000</v>
      </c>
      <c r="F22" s="106"/>
      <c r="H22" s="9"/>
    </row>
    <row r="23" spans="1:8">
      <c r="B23" s="646" t="s">
        <v>800</v>
      </c>
      <c r="C23" s="65"/>
      <c r="D23" s="647"/>
      <c r="E23" s="65">
        <v>142800</v>
      </c>
      <c r="F23" s="106" t="s">
        <v>802</v>
      </c>
      <c r="H23" s="9"/>
    </row>
    <row r="24" spans="1:8">
      <c r="B24" s="34"/>
      <c r="C24" s="51"/>
      <c r="E24" s="52"/>
      <c r="F24" s="108"/>
      <c r="H24" s="9"/>
    </row>
    <row r="25" spans="1:8">
      <c r="B25" s="32" t="s">
        <v>88</v>
      </c>
      <c r="C25" s="65"/>
      <c r="E25" s="65">
        <v>0</v>
      </c>
      <c r="F25" s="106"/>
      <c r="H25" s="9"/>
    </row>
    <row r="26" spans="1:8">
      <c r="B26" s="34" t="s">
        <v>97</v>
      </c>
      <c r="C26" s="65">
        <v>233.57</v>
      </c>
      <c r="E26" s="65">
        <f>C26*'2) Student Assumptions'!$E$29</f>
        <v>24524.85</v>
      </c>
      <c r="F26" s="106"/>
      <c r="H26" s="9"/>
    </row>
    <row r="27" spans="1:8">
      <c r="B27" s="34" t="s">
        <v>98</v>
      </c>
      <c r="C27" s="65">
        <v>0</v>
      </c>
      <c r="E27" s="65">
        <v>2673</v>
      </c>
      <c r="F27" s="106"/>
      <c r="H27" s="9"/>
    </row>
    <row r="28" spans="1:8">
      <c r="B28" s="34" t="s">
        <v>99</v>
      </c>
      <c r="C28" s="65">
        <v>0</v>
      </c>
      <c r="E28" s="65">
        <v>0</v>
      </c>
      <c r="F28" s="106"/>
      <c r="H28" s="9"/>
    </row>
    <row r="29" spans="1:8">
      <c r="B29" s="34" t="s">
        <v>100</v>
      </c>
      <c r="C29" s="65">
        <v>0</v>
      </c>
      <c r="E29" s="65">
        <v>0</v>
      </c>
      <c r="F29" s="106"/>
      <c r="H29" s="9"/>
    </row>
    <row r="30" spans="1:8">
      <c r="B30" s="34" t="s">
        <v>101</v>
      </c>
      <c r="C30" s="65">
        <v>0</v>
      </c>
      <c r="E30" s="65">
        <v>0</v>
      </c>
      <c r="F30" s="106"/>
      <c r="H30" s="9"/>
    </row>
    <row r="31" spans="1:8">
      <c r="B31" s="34" t="s">
        <v>102</v>
      </c>
      <c r="C31" s="65">
        <v>0</v>
      </c>
      <c r="E31" s="65">
        <v>200000</v>
      </c>
      <c r="F31" s="106" t="s">
        <v>826</v>
      </c>
      <c r="H31" s="9"/>
    </row>
    <row r="32" spans="1:8">
      <c r="B32" s="646" t="s">
        <v>745</v>
      </c>
      <c r="C32" s="65">
        <v>0</v>
      </c>
      <c r="E32" s="65">
        <v>24759</v>
      </c>
      <c r="F32" s="106"/>
      <c r="H32" s="9"/>
    </row>
    <row r="33" spans="1:8">
      <c r="B33" s="646" t="s">
        <v>746</v>
      </c>
      <c r="C33" s="65">
        <v>836</v>
      </c>
      <c r="E33" s="65">
        <v>90000</v>
      </c>
      <c r="F33" s="106" t="s">
        <v>821</v>
      </c>
      <c r="H33" s="9"/>
    </row>
    <row r="34" spans="1:8">
      <c r="B34" s="34"/>
      <c r="C34" s="51"/>
      <c r="E34" s="52"/>
      <c r="F34" s="108"/>
      <c r="H34" s="9"/>
    </row>
    <row r="35" spans="1:8">
      <c r="B35" s="32" t="s">
        <v>103</v>
      </c>
      <c r="C35" s="51"/>
      <c r="E35" s="52"/>
      <c r="F35" s="108"/>
      <c r="H35" s="9"/>
    </row>
    <row r="36" spans="1:8">
      <c r="B36" s="646" t="s">
        <v>96</v>
      </c>
      <c r="C36" s="65">
        <v>0</v>
      </c>
      <c r="E36" s="65">
        <v>0</v>
      </c>
      <c r="F36" s="106"/>
      <c r="H36" s="9"/>
    </row>
    <row r="37" spans="1:8">
      <c r="B37" s="646" t="s">
        <v>96</v>
      </c>
      <c r="C37" s="65">
        <v>0</v>
      </c>
      <c r="E37" s="65">
        <v>0</v>
      </c>
      <c r="F37" s="106"/>
      <c r="H37" s="9"/>
    </row>
    <row r="38" spans="1:8">
      <c r="B38" s="646" t="s">
        <v>96</v>
      </c>
      <c r="C38" s="65">
        <v>0</v>
      </c>
      <c r="E38" s="65">
        <v>0</v>
      </c>
      <c r="F38" s="106"/>
      <c r="H38" s="9"/>
    </row>
    <row r="39" spans="1:8">
      <c r="B39" s="646" t="s">
        <v>96</v>
      </c>
      <c r="C39" s="65">
        <v>0</v>
      </c>
      <c r="E39" s="65">
        <v>0</v>
      </c>
      <c r="F39" s="106"/>
      <c r="H39" s="9"/>
    </row>
    <row r="40" spans="1:8">
      <c r="B40" s="646" t="s">
        <v>96</v>
      </c>
      <c r="C40" s="65">
        <v>0</v>
      </c>
      <c r="E40" s="65">
        <v>0</v>
      </c>
      <c r="F40" s="106"/>
      <c r="H40" s="9"/>
    </row>
    <row r="41" spans="1:8">
      <c r="B41" s="34"/>
      <c r="C41" s="51"/>
      <c r="E41" s="52"/>
      <c r="F41" s="108"/>
      <c r="H41" s="9"/>
    </row>
    <row r="42" spans="1:8">
      <c r="B42" s="32" t="s">
        <v>104</v>
      </c>
      <c r="C42" s="51"/>
      <c r="E42" s="52"/>
      <c r="F42" s="108"/>
      <c r="H42" s="9"/>
    </row>
    <row r="43" spans="1:8">
      <c r="B43" s="34" t="str">
        <f>'3) Pre-Opening Budget'!B42</f>
        <v>Other</v>
      </c>
      <c r="C43" s="65"/>
      <c r="E43" s="65">
        <v>0</v>
      </c>
      <c r="F43" s="106"/>
      <c r="H43" s="9"/>
    </row>
    <row r="44" spans="1:8">
      <c r="B44" s="34" t="str">
        <f>'3) Pre-Opening Budget'!B43</f>
        <v>Other</v>
      </c>
      <c r="C44" s="65">
        <v>600000</v>
      </c>
      <c r="E44" s="65">
        <v>620000</v>
      </c>
      <c r="F44" s="106" t="s">
        <v>763</v>
      </c>
      <c r="H44" s="9"/>
    </row>
    <row r="45" spans="1:8">
      <c r="B45" s="34" t="str">
        <f>'3) Pre-Opening Budget'!B44</f>
        <v>Other</v>
      </c>
      <c r="C45" s="65">
        <v>1050000</v>
      </c>
      <c r="E45" s="65">
        <v>650000</v>
      </c>
      <c r="F45" s="106" t="s">
        <v>764</v>
      </c>
      <c r="H45" s="9"/>
    </row>
    <row r="46" spans="1:8">
      <c r="B46" s="34" t="str">
        <f>'3) Pre-Opening Budget'!B45</f>
        <v>Other</v>
      </c>
      <c r="C46" s="65">
        <v>0</v>
      </c>
      <c r="E46" s="65">
        <v>0</v>
      </c>
      <c r="F46" s="106"/>
      <c r="H46" s="9"/>
    </row>
    <row r="47" spans="1:8" ht="14.85" customHeight="1">
      <c r="B47" s="34" t="str">
        <f>'3) Pre-Opening Budget'!B46</f>
        <v>Other</v>
      </c>
      <c r="C47" s="65">
        <v>0</v>
      </c>
      <c r="E47" s="65">
        <v>0</v>
      </c>
      <c r="F47" s="106"/>
      <c r="H47" s="9"/>
    </row>
    <row r="48" spans="1:8">
      <c r="A48" s="23"/>
      <c r="B48" s="24"/>
      <c r="C48" s="23"/>
      <c r="D48" s="23"/>
      <c r="E48" s="30"/>
      <c r="F48" s="30"/>
      <c r="H48" s="9"/>
    </row>
    <row r="49" spans="1:8" ht="19.5" thickBot="1">
      <c r="B49" s="53" t="s">
        <v>106</v>
      </c>
      <c r="E49" s="678">
        <f>SUM(E19:E23,E25:E33,E36:E40,E43:E47)</f>
        <v>2803915.3589121089</v>
      </c>
      <c r="F49" s="55"/>
      <c r="H49" s="9"/>
    </row>
    <row r="50" spans="1:8" ht="16.5" thickTop="1" thickBot="1">
      <c r="B50" s="146"/>
      <c r="C50" s="21"/>
      <c r="D50" s="21"/>
      <c r="E50" s="147"/>
      <c r="F50" s="147"/>
      <c r="G50" s="21"/>
      <c r="H50" s="22"/>
    </row>
    <row r="51" spans="1:8" ht="14.85" customHeight="1">
      <c r="A51" s="23"/>
      <c r="B51" s="5"/>
      <c r="C51" s="792" t="s">
        <v>214</v>
      </c>
      <c r="D51" s="778"/>
      <c r="E51" s="778"/>
      <c r="F51" s="778"/>
      <c r="G51" s="6"/>
      <c r="H51" s="7"/>
    </row>
    <row r="52" spans="1:8">
      <c r="A52" s="23"/>
      <c r="B52" s="8"/>
      <c r="E52" s="19"/>
      <c r="F52" s="19"/>
      <c r="H52" s="9"/>
    </row>
    <row r="53" spans="1:8">
      <c r="A53" s="23"/>
      <c r="B53" s="24"/>
      <c r="C53" s="23"/>
      <c r="D53" s="1"/>
      <c r="E53" s="25" t="s">
        <v>42</v>
      </c>
      <c r="F53" s="41"/>
      <c r="H53" s="9"/>
    </row>
    <row r="54" spans="1:8">
      <c r="A54" s="23"/>
      <c r="B54" s="24"/>
      <c r="C54" s="23"/>
      <c r="D54" s="23"/>
      <c r="E54" s="56" t="str">
        <f>E11</f>
        <v>2024-25</v>
      </c>
      <c r="F54" s="26"/>
      <c r="H54" s="9"/>
    </row>
    <row r="55" spans="1:8">
      <c r="A55" s="23"/>
      <c r="B55" s="24"/>
      <c r="C55" s="23"/>
      <c r="D55" s="23"/>
      <c r="E55" s="26"/>
      <c r="F55" s="26"/>
      <c r="H55" s="9"/>
    </row>
    <row r="56" spans="1:8">
      <c r="A56" s="23"/>
      <c r="B56" s="24"/>
      <c r="C56" s="23"/>
      <c r="D56" s="23"/>
      <c r="E56" s="26"/>
      <c r="F56" s="26"/>
      <c r="H56" s="9"/>
    </row>
    <row r="57" spans="1:8">
      <c r="A57" s="23"/>
      <c r="B57" s="29" t="str">
        <f>'[4]5) Year 1-5 Staff Assumptions'!B50</f>
        <v>Administrative Staff</v>
      </c>
      <c r="C57" s="42" t="s">
        <v>109</v>
      </c>
      <c r="D57" s="23"/>
      <c r="E57" s="52"/>
      <c r="F57" s="47" t="s">
        <v>91</v>
      </c>
      <c r="H57" s="9"/>
    </row>
    <row r="58" spans="1:8">
      <c r="A58" s="23"/>
      <c r="B58" s="27" t="str">
        <f>'[4]5) Year 1-5 Staff Assumptions'!B51</f>
        <v>Principal/School Leader</v>
      </c>
      <c r="C58" s="62">
        <f>'5) Year 1-5 Staff Assumptions'!E17</f>
        <v>1</v>
      </c>
      <c r="D58" s="23"/>
      <c r="E58" s="58">
        <f>'5) Year 1-5 Staff Assumptions'!E51</f>
        <v>86760</v>
      </c>
      <c r="F58" s="106"/>
      <c r="H58" s="9"/>
    </row>
    <row r="59" spans="1:8">
      <c r="A59" s="23"/>
      <c r="B59" s="27" t="str">
        <f>'[4]5) Year 1-5 Staff Assumptions'!B52</f>
        <v>Assistant Principal</v>
      </c>
      <c r="C59" s="62">
        <f>'5) Year 1-5 Staff Assumptions'!E18</f>
        <v>1</v>
      </c>
      <c r="E59" s="58">
        <v>70000</v>
      </c>
      <c r="F59" s="106"/>
      <c r="H59" s="9"/>
    </row>
    <row r="60" spans="1:8">
      <c r="A60" s="23"/>
      <c r="B60" s="27" t="str">
        <f>'[4]5) Year 1-5 Staff Assumptions'!B53</f>
        <v>Special Education Coordinator</v>
      </c>
      <c r="C60" s="62">
        <f>'5) Year 1-5 Staff Assumptions'!E19</f>
        <v>0</v>
      </c>
      <c r="E60" s="58">
        <f>'5) Year 1-5 Staff Assumptions'!E53</f>
        <v>0</v>
      </c>
      <c r="F60" s="106"/>
      <c r="H60" s="9"/>
    </row>
    <row r="61" spans="1:8">
      <c r="A61" s="23"/>
      <c r="B61" s="27" t="str">
        <f>'[4]5) Year 1-5 Staff Assumptions'!B54</f>
        <v>Deans, Directors</v>
      </c>
      <c r="C61" s="62">
        <f>'5) Year 1-5 Staff Assumptions'!E20</f>
        <v>0</v>
      </c>
      <c r="E61" s="58">
        <v>45000</v>
      </c>
      <c r="F61" s="106"/>
      <c r="H61" s="9"/>
    </row>
    <row r="62" spans="1:8">
      <c r="A62" s="23"/>
      <c r="B62" s="27" t="str">
        <f>'[4]5) Year 1-5 Staff Assumptions'!B55</f>
        <v>Other (Specify in Assumptions)</v>
      </c>
      <c r="C62" s="62">
        <f>'5) Year 1-5 Staff Assumptions'!E21</f>
        <v>0</v>
      </c>
      <c r="E62" s="58">
        <f>'5) Year 1-5 Staff Assumptions'!E55</f>
        <v>0</v>
      </c>
      <c r="F62" s="106"/>
      <c r="H62" s="9"/>
    </row>
    <row r="63" spans="1:8">
      <c r="A63" s="23"/>
      <c r="B63" s="29" t="str">
        <f>'[4]5) Year 1-5 Staff Assumptions'!B56</f>
        <v>Total Administrative Compensation</v>
      </c>
      <c r="C63" s="59">
        <f>'5) Year 1-5 Staff Assumptions'!E22</f>
        <v>2</v>
      </c>
      <c r="D63" s="87"/>
      <c r="E63" s="58">
        <f>'5) Year 1-5 Staff Assumptions'!E56</f>
        <v>201760</v>
      </c>
      <c r="F63" s="109"/>
      <c r="H63" s="9"/>
    </row>
    <row r="64" spans="1:8">
      <c r="A64" s="23"/>
      <c r="B64" s="27"/>
      <c r="C64" s="62"/>
      <c r="E64" s="63"/>
      <c r="F64" s="110"/>
      <c r="H64" s="9"/>
    </row>
    <row r="65" spans="1:8">
      <c r="A65" s="23"/>
      <c r="B65" s="29" t="str">
        <f>'[4]5) Year 1-5 Staff Assumptions'!B58</f>
        <v>Instructional Staff</v>
      </c>
      <c r="C65" s="62"/>
      <c r="D65" s="62"/>
      <c r="E65" s="62"/>
      <c r="F65" s="111"/>
      <c r="H65" s="9"/>
    </row>
    <row r="66" spans="1:8">
      <c r="A66" s="23"/>
      <c r="B66" s="27" t="str">
        <f>'[4]5) Year 1-5 Staff Assumptions'!B59</f>
        <v>Teachers</v>
      </c>
      <c r="C66" s="62">
        <f>'5) Year 1-5 Staff Assumptions'!E25</f>
        <v>8</v>
      </c>
      <c r="E66" s="58">
        <f>'5) Year 1-5 Staff Assumptions'!E59</f>
        <v>336000</v>
      </c>
      <c r="F66" s="106"/>
      <c r="H66" s="9"/>
    </row>
    <row r="67" spans="1:8">
      <c r="A67" s="23"/>
      <c r="B67" s="27" t="str">
        <f>'[4]5) Year 1-5 Staff Assumptions'!B60</f>
        <v>Special Education Teachers</v>
      </c>
      <c r="C67" s="62">
        <f>'5) Year 1-5 Staff Assumptions'!E26</f>
        <v>1</v>
      </c>
      <c r="E67" s="58">
        <f>'5) Year 1-5 Staff Assumptions'!E60</f>
        <v>42000</v>
      </c>
      <c r="F67" s="106"/>
      <c r="H67" s="9"/>
    </row>
    <row r="68" spans="1:8">
      <c r="A68" s="23"/>
      <c r="B68" s="27" t="str">
        <f>'[4]5) Year 1-5 Staff Assumptions'!B61</f>
        <v>Eduacational Assistants/Aides</v>
      </c>
      <c r="C68" s="62">
        <f>'5) Year 1-5 Staff Assumptions'!E27</f>
        <v>0</v>
      </c>
      <c r="E68" s="58">
        <f>'5) Year 1-5 Staff Assumptions'!E61</f>
        <v>0</v>
      </c>
      <c r="F68" s="106"/>
      <c r="H68" s="9"/>
    </row>
    <row r="69" spans="1:8">
      <c r="A69" s="23"/>
      <c r="B69" s="27" t="s">
        <v>773</v>
      </c>
      <c r="C69" s="62">
        <f>'5) Year 1-5 Staff Assumptions'!E28</f>
        <v>1</v>
      </c>
      <c r="E69" s="58">
        <f>'5) Year 1-5 Staff Assumptions'!E62</f>
        <v>42000</v>
      </c>
      <c r="F69" s="106"/>
      <c r="H69" s="9"/>
    </row>
    <row r="70" spans="1:8">
      <c r="A70" s="23"/>
      <c r="B70" s="27" t="str">
        <f>'[4]5) Year 1-5 Staff Assumptions'!B63</f>
        <v>Other (Specify in Assumptions)</v>
      </c>
      <c r="C70" s="62">
        <f>'5) Year 1-5 Staff Assumptions'!E29</f>
        <v>0</v>
      </c>
      <c r="E70" s="58">
        <f>'5) Year 1-5 Staff Assumptions'!E63</f>
        <v>0</v>
      </c>
      <c r="F70" s="106"/>
      <c r="H70" s="9"/>
    </row>
    <row r="71" spans="1:8">
      <c r="A71" s="23"/>
      <c r="B71" s="29" t="str">
        <f>'[4]5) Year 1-5 Staff Assumptions'!B64</f>
        <v>Total Instructional Compensation</v>
      </c>
      <c r="C71" s="59">
        <f>'5) Year 1-5 Staff Assumptions'!E30</f>
        <v>10</v>
      </c>
      <c r="D71" s="87"/>
      <c r="E71" s="58">
        <f>'5) Year 1-5 Staff Assumptions'!E64</f>
        <v>420000</v>
      </c>
      <c r="F71" s="109"/>
      <c r="H71" s="9"/>
    </row>
    <row r="72" spans="1:8">
      <c r="A72" s="23"/>
      <c r="B72" s="27"/>
      <c r="C72" s="62"/>
      <c r="E72" s="63"/>
      <c r="F72" s="110"/>
      <c r="H72" s="9"/>
    </row>
    <row r="73" spans="1:8">
      <c r="A73" s="23"/>
      <c r="B73" s="29" t="str">
        <f>'[4]5) Year 1-5 Staff Assumptions'!B66</f>
        <v>Non-Instructional Staff</v>
      </c>
      <c r="C73" s="62"/>
      <c r="D73" s="62"/>
      <c r="E73" s="62"/>
      <c r="F73" s="111"/>
      <c r="H73" s="9"/>
    </row>
    <row r="74" spans="1:8">
      <c r="A74" s="23"/>
      <c r="B74" s="27" t="str">
        <f>'[4]5) Year 1-5 Staff Assumptions'!B67</f>
        <v>Clerical Staff</v>
      </c>
      <c r="C74" s="62">
        <f>'5) Year 1-5 Staff Assumptions'!E33</f>
        <v>3</v>
      </c>
      <c r="D74" s="23"/>
      <c r="E74" s="58">
        <f>'5) Year 1-5 Staff Assumptions'!E67</f>
        <v>78000</v>
      </c>
      <c r="F74" s="106"/>
      <c r="H74" s="9"/>
    </row>
    <row r="75" spans="1:8">
      <c r="A75" s="23"/>
      <c r="B75" s="27" t="str">
        <f>'[4]5) Year 1-5 Staff Assumptions'!B68</f>
        <v>Custodial Staff</v>
      </c>
      <c r="C75" s="62">
        <f>'5) Year 1-5 Staff Assumptions'!E34</f>
        <v>1</v>
      </c>
      <c r="D75" s="23"/>
      <c r="E75" s="58">
        <f>'5) Year 1-5 Staff Assumptions'!E68</f>
        <v>22800</v>
      </c>
      <c r="F75" s="106"/>
      <c r="H75" s="9"/>
    </row>
    <row r="76" spans="1:8">
      <c r="A76" s="23"/>
      <c r="B76" s="27" t="str">
        <f>'[4]5) Year 1-5 Staff Assumptions'!B69</f>
        <v>Operations</v>
      </c>
      <c r="C76" s="62">
        <f>'5) Year 1-5 Staff Assumptions'!E35</f>
        <v>5</v>
      </c>
      <c r="D76" s="23"/>
      <c r="E76" s="58">
        <f>'5) Year 1-5 Staff Assumptions'!E69</f>
        <v>243510</v>
      </c>
      <c r="F76" s="106"/>
      <c r="H76" s="9"/>
    </row>
    <row r="77" spans="1:8">
      <c r="A77" s="23"/>
      <c r="B77" s="27" t="str">
        <f>'[4]5) Year 1-5 Staff Assumptions'!B70</f>
        <v>Social Workers/Counseling</v>
      </c>
      <c r="C77" s="62">
        <f>'5) Year 1-5 Staff Assumptions'!E36</f>
        <v>1</v>
      </c>
      <c r="D77" s="23"/>
      <c r="E77" s="58">
        <f>'5) Year 1-5 Staff Assumptions'!E70</f>
        <v>37372</v>
      </c>
      <c r="F77" s="106"/>
      <c r="H77" s="9"/>
    </row>
    <row r="78" spans="1:8">
      <c r="A78" s="23"/>
      <c r="B78" s="27" t="s">
        <v>770</v>
      </c>
      <c r="C78" s="62">
        <f>'5) Year 1-5 Staff Assumptions'!E37</f>
        <v>1</v>
      </c>
      <c r="D78" s="23"/>
      <c r="E78" s="58">
        <f>'5) Year 1-5 Staff Assumptions'!E71</f>
        <v>26000</v>
      </c>
      <c r="F78" s="106"/>
      <c r="H78" s="9"/>
    </row>
    <row r="79" spans="1:8">
      <c r="A79" s="23"/>
      <c r="B79" s="29" t="str">
        <f>'[4]5) Year 1-5 Staff Assumptions'!B72</f>
        <v>Total Non-Instructional  Compensation</v>
      </c>
      <c r="C79" s="59">
        <f>'5) Year 1-5 Staff Assumptions'!E38</f>
        <v>11</v>
      </c>
      <c r="D79" s="42"/>
      <c r="E79" s="58">
        <f>'5) Year 1-5 Staff Assumptions'!E72</f>
        <v>407682</v>
      </c>
      <c r="F79" s="109"/>
      <c r="H79" s="9"/>
    </row>
    <row r="80" spans="1:8">
      <c r="A80" s="23"/>
      <c r="B80" s="27"/>
      <c r="C80" s="23"/>
      <c r="D80" s="23"/>
      <c r="E80" s="63"/>
      <c r="F80" s="110"/>
      <c r="H80" s="9"/>
    </row>
    <row r="81" spans="1:8">
      <c r="A81" s="23"/>
      <c r="B81" s="27" t="s">
        <v>775</v>
      </c>
      <c r="C81" s="23"/>
      <c r="D81" s="23"/>
      <c r="E81" s="58">
        <f>'5) Year 1-5 Staff Assumptions'!E74</f>
        <v>25000</v>
      </c>
      <c r="F81" s="106"/>
      <c r="H81" s="9"/>
    </row>
    <row r="82" spans="1:8">
      <c r="A82" s="23"/>
      <c r="B82" s="27" t="str">
        <f>'[4]5) Year 1-5 Staff Assumptions'!B75</f>
        <v>Other Compensation</v>
      </c>
      <c r="C82" s="23"/>
      <c r="D82" s="23"/>
      <c r="E82" s="58">
        <f>'5) Year 1-5 Staff Assumptions'!E75</f>
        <v>0</v>
      </c>
      <c r="F82" s="106"/>
      <c r="H82" s="9"/>
    </row>
    <row r="83" spans="1:8">
      <c r="A83" s="23"/>
      <c r="B83" s="27" t="s">
        <v>777</v>
      </c>
      <c r="C83" s="23"/>
      <c r="D83" s="23"/>
      <c r="E83" s="58">
        <f>'5) Year 1-5 Staff Assumptions'!E76</f>
        <v>39270</v>
      </c>
      <c r="F83" s="106"/>
      <c r="H83" s="9"/>
    </row>
    <row r="84" spans="1:8">
      <c r="A84" s="23"/>
      <c r="B84" s="27" t="s">
        <v>779</v>
      </c>
      <c r="C84" s="23"/>
      <c r="D84" s="23"/>
      <c r="E84" s="58">
        <f>'5) Year 1-5 Staff Assumptions'!E77</f>
        <v>3100</v>
      </c>
      <c r="F84" s="106"/>
      <c r="H84" s="9"/>
    </row>
    <row r="85" spans="1:8">
      <c r="A85" s="23"/>
      <c r="B85" s="27"/>
      <c r="C85" s="23"/>
      <c r="D85" s="23"/>
      <c r="E85" s="63"/>
      <c r="F85" s="101"/>
      <c r="H85" s="9"/>
    </row>
    <row r="86" spans="1:8" ht="15.75" thickBot="1">
      <c r="A86" s="23"/>
      <c r="B86" s="29" t="str">
        <f>'[4]5) Year 1-5 Staff Assumptions'!B79</f>
        <v>Total Compensation</v>
      </c>
      <c r="C86" s="42"/>
      <c r="D86" s="42"/>
      <c r="E86" s="54">
        <f>'5) Year 1-5 Staff Assumptions'!E79</f>
        <v>1096812</v>
      </c>
      <c r="F86" s="55"/>
      <c r="H86" s="9"/>
    </row>
    <row r="87" spans="1:8" ht="15.75" thickTop="1">
      <c r="A87" s="23"/>
      <c r="B87" s="24"/>
      <c r="C87" s="23"/>
      <c r="D87" s="23"/>
      <c r="E87" s="26"/>
      <c r="F87" s="26"/>
      <c r="H87" s="9"/>
    </row>
    <row r="88" spans="1:8">
      <c r="A88" s="23"/>
      <c r="B88" s="24"/>
      <c r="C88" s="23"/>
      <c r="D88" s="23"/>
      <c r="E88" s="26"/>
      <c r="F88" s="26"/>
      <c r="H88" s="9"/>
    </row>
    <row r="89" spans="1:8" ht="14.85" customHeight="1">
      <c r="A89" s="23"/>
      <c r="B89" s="8"/>
      <c r="C89" s="751" t="s">
        <v>204</v>
      </c>
      <c r="D89" s="762"/>
      <c r="E89" s="762"/>
      <c r="F89" s="762"/>
      <c r="H89" s="9"/>
    </row>
    <row r="90" spans="1:8" ht="14.85" customHeight="1">
      <c r="A90" s="23"/>
      <c r="B90" s="8"/>
      <c r="H90" s="9"/>
    </row>
    <row r="91" spans="1:8">
      <c r="A91" s="23"/>
      <c r="B91" s="8"/>
      <c r="E91" s="25" t="s">
        <v>42</v>
      </c>
      <c r="F91" s="41"/>
      <c r="H91" s="9"/>
    </row>
    <row r="92" spans="1:8">
      <c r="A92" s="23"/>
      <c r="B92" s="24"/>
      <c r="C92" s="42"/>
      <c r="D92" s="1"/>
      <c r="E92" s="56" t="str">
        <f>E11</f>
        <v>2024-25</v>
      </c>
      <c r="F92" s="26"/>
      <c r="H92" s="9"/>
    </row>
    <row r="93" spans="1:8">
      <c r="A93" s="23"/>
      <c r="B93" s="24"/>
      <c r="C93" s="42"/>
      <c r="D93" s="1"/>
      <c r="E93" s="26"/>
      <c r="H93" s="9"/>
    </row>
    <row r="94" spans="1:8">
      <c r="A94" s="23"/>
      <c r="B94" s="24"/>
      <c r="C94" s="42"/>
      <c r="D94" s="1"/>
      <c r="E94" s="26"/>
      <c r="F94" s="47" t="s">
        <v>91</v>
      </c>
      <c r="H94" s="9"/>
    </row>
    <row r="95" spans="1:8">
      <c r="A95" s="23"/>
      <c r="B95" s="34" t="str">
        <f>'[4]5) Year 1-5 Staff Assumptions'!B86</f>
        <v xml:space="preserve">Social Security </v>
      </c>
      <c r="C95" s="45"/>
      <c r="D95" s="45"/>
      <c r="E95" s="648">
        <f>'5) Year 1-5 Staff Assumptions'!E86</f>
        <v>68002.343999999997</v>
      </c>
      <c r="F95" s="106"/>
      <c r="H95" s="9"/>
    </row>
    <row r="96" spans="1:8">
      <c r="A96" s="23"/>
      <c r="B96" s="34" t="str">
        <f>'[4]5) Year 1-5 Staff Assumptions'!B87</f>
        <v>Medicare</v>
      </c>
      <c r="C96" s="45"/>
      <c r="D96" s="45"/>
      <c r="E96" s="648">
        <f>'5) Year 1-5 Staff Assumptions'!E87</f>
        <v>15903.774000000001</v>
      </c>
      <c r="F96" s="106"/>
      <c r="H96" s="9"/>
    </row>
    <row r="97" spans="1:8">
      <c r="A97" s="23"/>
      <c r="B97" s="34" t="str">
        <f>'[4]5) Year 1-5 Staff Assumptions'!B88</f>
        <v>State Unemployment</v>
      </c>
      <c r="C97" s="45"/>
      <c r="D97" s="45"/>
      <c r="E97" s="648">
        <f>'5) Year 1-5 Staff Assumptions'!E88</f>
        <v>9200</v>
      </c>
      <c r="F97" s="106"/>
      <c r="H97" s="9"/>
    </row>
    <row r="98" spans="1:8">
      <c r="A98" s="23"/>
      <c r="B98" s="34" t="str">
        <f>'[4]5) Year 1-5 Staff Assumptions'!B89</f>
        <v>Disability/Life Insurance</v>
      </c>
      <c r="C98" s="45"/>
      <c r="D98" s="45"/>
      <c r="E98" s="648">
        <f>'5) Year 1-5 Staff Assumptions'!E89</f>
        <v>3619.4796000000001</v>
      </c>
      <c r="F98" s="106"/>
      <c r="H98" s="9"/>
    </row>
    <row r="99" spans="1:8">
      <c r="A99" s="23"/>
      <c r="B99" s="34" t="str">
        <f>'[4]5) Year 1-5 Staff Assumptions'!B90</f>
        <v>Workers Compensation Insurance</v>
      </c>
      <c r="C99" s="45"/>
      <c r="D99" s="45"/>
      <c r="E99" s="648">
        <f>'5) Year 1-5 Staff Assumptions'!E90</f>
        <v>3729.1607999999997</v>
      </c>
      <c r="F99" s="106"/>
      <c r="H99" s="9"/>
    </row>
    <row r="100" spans="1:8">
      <c r="A100" s="23"/>
      <c r="B100" s="34" t="str">
        <f>'[4]5) Year 1-5 Staff Assumptions'!B91</f>
        <v>Other Fringe Benefits</v>
      </c>
      <c r="C100" s="45"/>
      <c r="D100" s="45"/>
      <c r="E100" s="648">
        <f>'5) Year 1-5 Staff Assumptions'!E91</f>
        <v>0</v>
      </c>
      <c r="F100" s="106"/>
      <c r="H100" s="9"/>
    </row>
    <row r="101" spans="1:8">
      <c r="A101" s="23"/>
      <c r="B101" s="34" t="str">
        <f>'[4]5) Year 1-5 Staff Assumptions'!B96</f>
        <v>Medical Insurance</v>
      </c>
      <c r="C101" s="45"/>
      <c r="D101" s="45"/>
      <c r="E101" s="648">
        <f>'5) Year 1-5 Staff Assumptions'!E96</f>
        <v>166267</v>
      </c>
      <c r="F101" s="106"/>
      <c r="H101" s="9"/>
    </row>
    <row r="102" spans="1:8">
      <c r="A102" s="23"/>
      <c r="B102" s="34" t="str">
        <f>'[4]5) Year 1-5 Staff Assumptions'!B97</f>
        <v>Dental Insurance</v>
      </c>
      <c r="C102" s="45"/>
      <c r="D102" s="45"/>
      <c r="E102" s="648">
        <f>'5) Year 1-5 Staff Assumptions'!E97</f>
        <v>12535</v>
      </c>
      <c r="F102" s="106"/>
      <c r="H102" s="9"/>
    </row>
    <row r="103" spans="1:8">
      <c r="A103" s="23"/>
      <c r="B103" s="34" t="str">
        <f>'[4]5) Year 1-5 Staff Assumptions'!B98</f>
        <v>Vision Insurance</v>
      </c>
      <c r="C103" s="45"/>
      <c r="D103" s="45"/>
      <c r="E103" s="648">
        <f>'5) Year 1-5 Staff Assumptions'!E98</f>
        <v>0</v>
      </c>
      <c r="F103" s="106"/>
      <c r="H103" s="9"/>
    </row>
    <row r="104" spans="1:8">
      <c r="A104" s="23"/>
      <c r="B104" s="34" t="str">
        <f>'[4]5) Year 1-5 Staff Assumptions'!B100</f>
        <v>TCRS Certified Legacy</v>
      </c>
      <c r="C104" s="45"/>
      <c r="D104" s="45"/>
      <c r="E104" s="648">
        <f>'5) Year 1-5 Staff Assumptions'!E100</f>
        <v>0</v>
      </c>
      <c r="F104" s="106"/>
      <c r="H104" s="9"/>
    </row>
    <row r="105" spans="1:8">
      <c r="A105" s="23"/>
      <c r="B105" s="34" t="str">
        <f>'[4]5) Year 1-5 Staff Assumptions'!B101</f>
        <v>TCRS Certified Hybrid</v>
      </c>
      <c r="C105" s="45"/>
      <c r="D105" s="45"/>
      <c r="E105" s="648">
        <f>'5) Year 1-5 Staff Assumptions'!E101</f>
        <v>98713.08</v>
      </c>
      <c r="F105" s="106"/>
      <c r="H105" s="9"/>
    </row>
    <row r="106" spans="1:8">
      <c r="A106" s="23"/>
      <c r="B106" s="34" t="str">
        <f>'[4]5) Year 1-5 Staff Assumptions'!B102</f>
        <v>TCRS Classified Legacy</v>
      </c>
      <c r="C106" s="45"/>
      <c r="D106" s="45"/>
      <c r="E106" s="648">
        <f>'5) Year 1-5 Staff Assumptions'!E102</f>
        <v>0</v>
      </c>
      <c r="F106" s="106"/>
      <c r="H106" s="9"/>
    </row>
    <row r="107" spans="1:8">
      <c r="A107" s="23"/>
      <c r="B107" s="34" t="str">
        <f>'[4]5) Year 1-5 Staff Assumptions'!B103</f>
        <v>TCRS Classified Hybrid</v>
      </c>
      <c r="C107" s="45"/>
      <c r="D107" s="45"/>
      <c r="E107" s="648">
        <f>'5) Year 1-5 Staff Assumptions'!E103</f>
        <v>0</v>
      </c>
      <c r="F107" s="106"/>
      <c r="H107" s="9"/>
    </row>
    <row r="108" spans="1:8">
      <c r="A108" s="23"/>
      <c r="B108" s="34" t="str">
        <f>'[4]5) Year 1-5 Staff Assumptions'!B104</f>
        <v>Other Classified Retirement</v>
      </c>
      <c r="C108" s="45"/>
      <c r="D108" s="45"/>
      <c r="E108" s="648">
        <f>'5) Year 1-5 Staff Assumptions'!E104</f>
        <v>0</v>
      </c>
      <c r="F108" s="106"/>
      <c r="H108" s="9"/>
    </row>
    <row r="109" spans="1:8">
      <c r="A109" s="23"/>
      <c r="B109" s="34" t="str">
        <f>'[4]5) Year 1-5 Staff Assumptions'!B105</f>
        <v>Other Retirement</v>
      </c>
      <c r="C109" s="45"/>
      <c r="D109" s="45"/>
      <c r="E109" s="648">
        <f>'5) Year 1-5 Staff Assumptions'!E105</f>
        <v>0</v>
      </c>
      <c r="F109" s="106"/>
      <c r="H109" s="9"/>
    </row>
    <row r="110" spans="1:8">
      <c r="B110" s="8"/>
      <c r="H110" s="9"/>
    </row>
    <row r="111" spans="1:8" ht="15.75" thickBot="1">
      <c r="B111" s="29" t="s">
        <v>129</v>
      </c>
      <c r="C111" s="42"/>
      <c r="D111" s="42"/>
      <c r="E111" s="54">
        <f>SUM(E95:E109)</f>
        <v>377969.83840000001</v>
      </c>
      <c r="F111" s="55"/>
      <c r="H111" s="9"/>
    </row>
    <row r="112" spans="1:8" ht="16.5" thickTop="1" thickBot="1">
      <c r="B112" s="134"/>
      <c r="C112" s="135"/>
      <c r="D112" s="135"/>
      <c r="E112" s="136"/>
      <c r="F112" s="136"/>
      <c r="G112" s="21"/>
      <c r="H112" s="22"/>
    </row>
    <row r="113" spans="1:8">
      <c r="B113" s="137"/>
      <c r="C113" s="138"/>
      <c r="D113" s="138"/>
      <c r="E113" s="139"/>
      <c r="F113" s="139"/>
      <c r="G113" s="6"/>
      <c r="H113" s="7"/>
    </row>
    <row r="114" spans="1:8" ht="15" customHeight="1">
      <c r="B114" s="29"/>
      <c r="C114" s="751" t="s">
        <v>130</v>
      </c>
      <c r="D114" s="767"/>
      <c r="E114" s="767"/>
      <c r="F114" s="767"/>
      <c r="H114" s="9"/>
    </row>
    <row r="115" spans="1:8">
      <c r="B115" s="29"/>
      <c r="C115" s="42"/>
      <c r="D115" s="42"/>
      <c r="E115" s="42"/>
      <c r="F115" s="42"/>
      <c r="G115" s="42"/>
      <c r="H115" s="9"/>
    </row>
    <row r="116" spans="1:8">
      <c r="B116" s="29"/>
      <c r="C116" s="42"/>
      <c r="D116" s="42"/>
      <c r="E116" s="41" t="s">
        <v>42</v>
      </c>
      <c r="F116" s="41"/>
      <c r="G116" s="42"/>
      <c r="H116" s="9"/>
    </row>
    <row r="117" spans="1:8">
      <c r="B117" s="29"/>
      <c r="C117" s="42"/>
      <c r="D117" s="42"/>
      <c r="E117" s="26" t="str">
        <f>E11</f>
        <v>2024-25</v>
      </c>
      <c r="F117" s="26"/>
      <c r="G117" s="42"/>
      <c r="H117" s="9"/>
    </row>
    <row r="118" spans="1:8" hidden="1">
      <c r="A118" s="23"/>
      <c r="B118" s="24"/>
      <c r="C118" s="42" t="s">
        <v>131</v>
      </c>
      <c r="D118" s="1"/>
      <c r="E118" s="659">
        <v>0</v>
      </c>
      <c r="H118" s="9"/>
    </row>
    <row r="119" spans="1:8" hidden="1">
      <c r="A119" s="23"/>
      <c r="B119" s="24"/>
      <c r="C119" s="45" t="s">
        <v>87</v>
      </c>
      <c r="D119" s="1"/>
      <c r="E119" s="46">
        <f>100%+E118</f>
        <v>1</v>
      </c>
      <c r="F119" s="46"/>
      <c r="H119" s="9"/>
    </row>
    <row r="120" spans="1:8">
      <c r="B120" s="29"/>
      <c r="C120" s="42"/>
      <c r="D120" s="42"/>
      <c r="E120" s="55"/>
      <c r="F120" s="55"/>
      <c r="H120" s="9"/>
    </row>
    <row r="121" spans="1:8">
      <c r="B121" s="29" t="s">
        <v>132</v>
      </c>
      <c r="C121" s="42"/>
      <c r="D121" s="42"/>
      <c r="E121" s="55"/>
      <c r="F121" s="47" t="s">
        <v>91</v>
      </c>
      <c r="H121" s="9"/>
    </row>
    <row r="122" spans="1:8">
      <c r="B122" s="95" t="str">
        <f>'3) Pre-Opening Budget'!B123</f>
        <v>Professional Development</v>
      </c>
      <c r="C122" s="65">
        <v>100000</v>
      </c>
      <c r="E122" s="65">
        <v>100000</v>
      </c>
      <c r="F122" s="106" t="s">
        <v>789</v>
      </c>
      <c r="H122" s="9"/>
    </row>
    <row r="123" spans="1:8">
      <c r="B123" s="95" t="str">
        <f>'3) Pre-Opening Budget'!B124</f>
        <v>Financial Services</v>
      </c>
      <c r="C123" s="634">
        <v>48000</v>
      </c>
      <c r="E123" s="65">
        <v>48000</v>
      </c>
      <c r="F123" s="635" t="s">
        <v>788</v>
      </c>
      <c r="H123" s="9"/>
    </row>
    <row r="124" spans="1:8">
      <c r="B124" s="95" t="str">
        <f>'3) Pre-Opening Budget'!B125</f>
        <v>Audit Services</v>
      </c>
      <c r="C124" s="65">
        <v>12000</v>
      </c>
      <c r="E124" s="65">
        <v>12000</v>
      </c>
      <c r="F124" s="106" t="s">
        <v>732</v>
      </c>
      <c r="H124" s="9"/>
    </row>
    <row r="125" spans="1:8">
      <c r="B125" s="95" t="str">
        <f>'3) Pre-Opening Budget'!B126</f>
        <v>Legal Fees</v>
      </c>
      <c r="C125" s="65">
        <v>5000</v>
      </c>
      <c r="E125" s="65">
        <v>5000</v>
      </c>
      <c r="F125" s="106"/>
      <c r="H125" s="9"/>
    </row>
    <row r="126" spans="1:8">
      <c r="B126" s="95" t="str">
        <f>'3) Pre-Opening Budget'!B127</f>
        <v>Copier Lease and Usage</v>
      </c>
      <c r="C126" s="65">
        <v>2436</v>
      </c>
      <c r="E126" s="65">
        <v>2436</v>
      </c>
      <c r="F126" s="106" t="s">
        <v>729</v>
      </c>
      <c r="H126" s="9"/>
    </row>
    <row r="127" spans="1:8">
      <c r="B127" s="95" t="str">
        <f>'3) Pre-Opening Budget'!B128</f>
        <v>Internet and Phone Service</v>
      </c>
      <c r="C127" s="65">
        <v>22704</v>
      </c>
      <c r="E127" s="65">
        <v>22704</v>
      </c>
      <c r="F127" s="106" t="s">
        <v>733</v>
      </c>
      <c r="H127" s="9"/>
    </row>
    <row r="128" spans="1:8">
      <c r="B128" s="95" t="str">
        <f>'3) Pre-Opening Budget'!B129</f>
        <v>Cell Phone Service</v>
      </c>
      <c r="C128" s="65">
        <v>600</v>
      </c>
      <c r="E128" s="65">
        <v>600</v>
      </c>
      <c r="F128" s="106"/>
      <c r="H128" s="9"/>
    </row>
    <row r="129" spans="2:8">
      <c r="B129" s="95" t="str">
        <f>'3) Pre-Opening Budget'!B130</f>
        <v>Payroll Services</v>
      </c>
      <c r="C129" s="65">
        <v>0</v>
      </c>
      <c r="E129" s="65">
        <v>0</v>
      </c>
      <c r="F129" s="106"/>
      <c r="H129" s="9"/>
    </row>
    <row r="130" spans="2:8">
      <c r="B130" s="95" t="str">
        <f>'3) Pre-Opening Budget'!B131</f>
        <v>Health Services</v>
      </c>
      <c r="C130" s="65">
        <v>0</v>
      </c>
      <c r="E130" s="65">
        <v>0</v>
      </c>
      <c r="F130" s="106"/>
      <c r="H130" s="9"/>
    </row>
    <row r="131" spans="2:8">
      <c r="B131" s="95" t="str">
        <f>'3) Pre-Opening Budget'!B132</f>
        <v>Transportation</v>
      </c>
      <c r="C131" s="65">
        <v>102999</v>
      </c>
      <c r="E131" s="65">
        <v>102999</v>
      </c>
      <c r="F131" s="106" t="s">
        <v>785</v>
      </c>
      <c r="H131" s="9"/>
    </row>
    <row r="132" spans="2:8">
      <c r="B132" s="95" t="str">
        <f>'3) Pre-Opening Budget'!B133</f>
        <v>IT Services</v>
      </c>
      <c r="C132" s="65">
        <v>6362</v>
      </c>
      <c r="E132" s="65">
        <v>6362</v>
      </c>
      <c r="F132" s="106" t="s">
        <v>738</v>
      </c>
      <c r="H132" s="9"/>
    </row>
    <row r="133" spans="2:8">
      <c r="B133" s="95" t="str">
        <f>'3) Pre-Opening Budget'!B134</f>
        <v>Contracted SPED Services</v>
      </c>
      <c r="C133" s="65">
        <v>0</v>
      </c>
      <c r="E133" s="65">
        <v>0</v>
      </c>
      <c r="F133" s="106"/>
      <c r="H133" s="9"/>
    </row>
    <row r="134" spans="2:8">
      <c r="B134" s="95" t="str">
        <f>'3) Pre-Opening Budget'!B135</f>
        <v>Insurance</v>
      </c>
      <c r="C134" s="65">
        <v>19623</v>
      </c>
      <c r="E134" s="65">
        <v>19623</v>
      </c>
      <c r="F134" s="106"/>
      <c r="H134" s="9"/>
    </row>
    <row r="135" spans="2:8">
      <c r="B135" s="95" t="str">
        <f>'3) Pre-Opening Budget'!B136</f>
        <v>Postal Charges</v>
      </c>
      <c r="C135" s="65">
        <v>3320</v>
      </c>
      <c r="E135" s="65">
        <v>3320</v>
      </c>
      <c r="F135" s="106"/>
      <c r="H135" s="9"/>
    </row>
    <row r="136" spans="2:8">
      <c r="B136" s="95" t="str">
        <f>'3) Pre-Opening Budget'!B138</f>
        <v>Grant Writer</v>
      </c>
      <c r="C136" s="65">
        <v>48888</v>
      </c>
      <c r="E136" s="65">
        <v>48888</v>
      </c>
      <c r="F136" s="106" t="s">
        <v>790</v>
      </c>
      <c r="H136" s="9"/>
    </row>
    <row r="137" spans="2:8">
      <c r="B137" s="29"/>
      <c r="C137" s="42"/>
      <c r="D137" s="42"/>
      <c r="E137" s="55"/>
      <c r="F137" s="112"/>
      <c r="H137" s="9"/>
    </row>
    <row r="138" spans="2:8">
      <c r="B138" s="29" t="s">
        <v>148</v>
      </c>
      <c r="C138" s="42"/>
      <c r="D138" s="42"/>
      <c r="E138" s="55"/>
      <c r="F138" s="112"/>
      <c r="H138" s="9"/>
    </row>
    <row r="139" spans="2:8" ht="14.45" customHeight="1">
      <c r="B139" s="95" t="str">
        <f>'3) Pre-Opening Budget'!B141</f>
        <v>Textbooks and Instructional Supplies</v>
      </c>
      <c r="C139" s="65">
        <v>21000</v>
      </c>
      <c r="E139" s="65">
        <v>21000</v>
      </c>
      <c r="F139" s="106" t="s">
        <v>749</v>
      </c>
      <c r="H139" s="9"/>
    </row>
    <row r="140" spans="2:8" ht="14.45" customHeight="1">
      <c r="B140" s="95" t="str">
        <f>'3) Pre-Opening Budget'!B142</f>
        <v>Education Software</v>
      </c>
      <c r="C140" s="65">
        <v>37702</v>
      </c>
      <c r="E140" s="65">
        <v>37702</v>
      </c>
      <c r="F140" s="106" t="s">
        <v>747</v>
      </c>
      <c r="H140" s="9"/>
    </row>
    <row r="141" spans="2:8" ht="14.45" customHeight="1">
      <c r="B141" s="95" t="str">
        <f>'3) Pre-Opening Budget'!B143</f>
        <v>Student Supplies</v>
      </c>
      <c r="C141" s="65">
        <v>36833</v>
      </c>
      <c r="E141" s="65">
        <v>36833</v>
      </c>
      <c r="F141" s="106"/>
      <c r="H141" s="9"/>
    </row>
    <row r="142" spans="2:8" ht="14.45" customHeight="1">
      <c r="B142" s="95" t="str">
        <f>'3) Pre-Opening Budget'!B144</f>
        <v>Faculty Supplies</v>
      </c>
      <c r="C142" s="65">
        <v>15000</v>
      </c>
      <c r="E142" s="65">
        <v>15000</v>
      </c>
      <c r="F142" s="106"/>
      <c r="H142" s="9"/>
    </row>
    <row r="143" spans="2:8" ht="14.45" customHeight="1">
      <c r="B143" s="95" t="str">
        <f>'3) Pre-Opening Budget'!B145</f>
        <v>Library Books</v>
      </c>
      <c r="C143" s="65">
        <v>15000</v>
      </c>
      <c r="E143" s="65">
        <v>15000</v>
      </c>
      <c r="F143" s="106"/>
      <c r="H143" s="9"/>
    </row>
    <row r="144" spans="2:8" ht="14.45" customHeight="1">
      <c r="B144" s="95" t="str">
        <f>'3) Pre-Opening Budget'!B146</f>
        <v>Testing &amp; Evaluation</v>
      </c>
      <c r="C144" s="65">
        <v>5000</v>
      </c>
      <c r="E144" s="65">
        <v>5000</v>
      </c>
      <c r="F144" s="106"/>
      <c r="H144" s="9"/>
    </row>
    <row r="145" spans="2:8" ht="14.45" customHeight="1">
      <c r="B145" s="95" t="str">
        <f>'3) Pre-Opening Budget'!B147</f>
        <v>Student Laptops</v>
      </c>
      <c r="C145" s="65">
        <v>31500</v>
      </c>
      <c r="E145" s="65">
        <v>31500</v>
      </c>
      <c r="F145" s="106" t="s">
        <v>780</v>
      </c>
      <c r="H145" s="9"/>
    </row>
    <row r="146" spans="2:8" ht="14.45" customHeight="1">
      <c r="B146" s="95" t="str">
        <f>'3) Pre-Opening Budget'!B148</f>
        <v>Faculty Laptops</v>
      </c>
      <c r="C146" s="65">
        <v>31500</v>
      </c>
      <c r="E146" s="65">
        <v>31500</v>
      </c>
      <c r="F146" s="106" t="s">
        <v>781</v>
      </c>
      <c r="H146" s="9"/>
    </row>
    <row r="147" spans="2:8" ht="14.45" customHeight="1">
      <c r="B147" s="95" t="str">
        <f>'3) Pre-Opening Budget'!B149</f>
        <v>Office Supplies</v>
      </c>
      <c r="C147" s="65">
        <v>19200</v>
      </c>
      <c r="E147" s="65">
        <v>19200</v>
      </c>
      <c r="F147" s="106" t="s">
        <v>739</v>
      </c>
      <c r="H147" s="9"/>
    </row>
    <row r="148" spans="2:8" ht="14.45" customHeight="1">
      <c r="B148" s="95" t="str">
        <f>'3) Pre-Opening Budget'!B150</f>
        <v>Printing Paper</v>
      </c>
      <c r="C148" s="65">
        <v>0</v>
      </c>
      <c r="E148" s="65">
        <v>0</v>
      </c>
      <c r="F148" s="106"/>
      <c r="H148" s="9"/>
    </row>
    <row r="149" spans="2:8" ht="14.45" customHeight="1">
      <c r="B149" s="95" t="str">
        <f>'3) Pre-Opening Budget'!B151</f>
        <v>Marketing Materials</v>
      </c>
      <c r="C149" s="65">
        <v>19770</v>
      </c>
      <c r="E149" s="65">
        <v>19770</v>
      </c>
      <c r="F149" s="106" t="s">
        <v>748</v>
      </c>
      <c r="H149" s="9"/>
    </row>
    <row r="150" spans="2:8" ht="14.45" customHeight="1">
      <c r="B150" s="95" t="str">
        <f>'3) Pre-Opening Budget'!B152</f>
        <v>Student Uniforms</v>
      </c>
      <c r="C150" s="65">
        <v>6500</v>
      </c>
      <c r="E150" s="65">
        <v>6500</v>
      </c>
      <c r="F150" s="106" t="s">
        <v>782</v>
      </c>
      <c r="H150" s="9"/>
    </row>
    <row r="151" spans="2:8" ht="14.45" customHeight="1">
      <c r="B151" s="95" t="str">
        <f>'3) Pre-Opening Budget'!B153</f>
        <v>Gifts &amp; Awards - Students</v>
      </c>
      <c r="C151" s="65">
        <v>0</v>
      </c>
      <c r="E151" s="65">
        <v>0</v>
      </c>
      <c r="F151" s="106"/>
      <c r="H151" s="9"/>
    </row>
    <row r="152" spans="2:8" ht="14.45" customHeight="1">
      <c r="B152" s="95" t="str">
        <f>'3) Pre-Opening Budget'!B154</f>
        <v>Gifts &amp; Awards - Teachers and Staff</v>
      </c>
      <c r="C152" s="65">
        <v>0</v>
      </c>
      <c r="E152" s="65">
        <v>0</v>
      </c>
      <c r="F152" s="106"/>
      <c r="H152" s="9"/>
    </row>
    <row r="153" spans="2:8" ht="14.45" customHeight="1">
      <c r="B153" s="95" t="str">
        <f>'3) Pre-Opening Budget'!B155</f>
        <v>Health Supplies</v>
      </c>
      <c r="C153" s="65">
        <v>500</v>
      </c>
      <c r="E153" s="65">
        <v>500</v>
      </c>
      <c r="F153" s="106"/>
      <c r="H153" s="9"/>
    </row>
    <row r="154" spans="2:8">
      <c r="B154" s="29"/>
      <c r="C154" s="42"/>
      <c r="D154" s="42"/>
      <c r="E154" s="55"/>
      <c r="F154" s="112"/>
      <c r="H154" s="9"/>
    </row>
    <row r="155" spans="2:8">
      <c r="B155" s="29" t="s">
        <v>164</v>
      </c>
      <c r="C155" s="42"/>
      <c r="D155" s="42"/>
      <c r="E155" s="55"/>
      <c r="F155" s="112"/>
      <c r="H155" s="9"/>
    </row>
    <row r="156" spans="2:8">
      <c r="B156" s="95" t="str">
        <f>'3) Pre-Opening Budget'!B158</f>
        <v>Rent</v>
      </c>
      <c r="C156" s="65">
        <v>85000</v>
      </c>
      <c r="E156" s="65">
        <v>85000</v>
      </c>
      <c r="F156" s="106" t="s">
        <v>787</v>
      </c>
      <c r="H156" s="9"/>
    </row>
    <row r="157" spans="2:8">
      <c r="B157" s="95" t="str">
        <f>'3) Pre-Opening Budget'!B159</f>
        <v>Utilities</v>
      </c>
      <c r="C157" s="65">
        <v>10000</v>
      </c>
      <c r="E157" s="65">
        <v>10000</v>
      </c>
      <c r="F157" s="106" t="s">
        <v>734</v>
      </c>
      <c r="H157" s="9"/>
    </row>
    <row r="158" spans="2:8">
      <c r="B158" s="95" t="str">
        <f>'3) Pre-Opening Budget'!B160</f>
        <v xml:space="preserve">Custodial </v>
      </c>
      <c r="C158" s="65">
        <v>10000</v>
      </c>
      <c r="E158" s="65">
        <v>10000</v>
      </c>
      <c r="F158" s="106"/>
      <c r="H158" s="9"/>
    </row>
    <row r="159" spans="2:8">
      <c r="B159" s="95" t="str">
        <f>'3) Pre-Opening Budget'!B161</f>
        <v>Waste</v>
      </c>
      <c r="C159" s="65">
        <v>2800</v>
      </c>
      <c r="E159" s="65">
        <v>2800</v>
      </c>
      <c r="F159" s="106" t="s">
        <v>735</v>
      </c>
      <c r="H159" s="9"/>
    </row>
    <row r="160" spans="2:8">
      <c r="B160" s="95" t="str">
        <f>'3) Pre-Opening Budget'!B162</f>
        <v>Faculty Furniture</v>
      </c>
      <c r="C160" s="65">
        <v>35000</v>
      </c>
      <c r="E160" s="65">
        <v>35000</v>
      </c>
      <c r="F160" s="106"/>
      <c r="H160" s="9"/>
    </row>
    <row r="161" spans="2:8">
      <c r="B161" s="95" t="str">
        <f>'3) Pre-Opening Budget'!B163</f>
        <v>Student Furniture</v>
      </c>
      <c r="C161" s="65">
        <v>0</v>
      </c>
      <c r="E161" s="65">
        <v>0</v>
      </c>
      <c r="F161" s="106" t="s">
        <v>783</v>
      </c>
      <c r="H161" s="9"/>
    </row>
    <row r="162" spans="2:8">
      <c r="B162" s="95" t="str">
        <f>'3) Pre-Opening Budget'!B164</f>
        <v>Internet/Network Equipment</v>
      </c>
      <c r="C162" s="65">
        <v>20000</v>
      </c>
      <c r="E162" s="65">
        <v>20000</v>
      </c>
      <c r="F162" s="106"/>
      <c r="H162" s="9"/>
    </row>
    <row r="163" spans="2:8">
      <c r="B163" s="95" t="str">
        <f>'3) Pre-Opening Budget'!B165</f>
        <v>Other Equipment</v>
      </c>
      <c r="C163" s="65">
        <v>45000</v>
      </c>
      <c r="E163" s="65">
        <v>45000</v>
      </c>
      <c r="F163" s="106"/>
      <c r="H163" s="9"/>
    </row>
    <row r="164" spans="2:8">
      <c r="B164" s="95" t="str">
        <f>'3) Pre-Opening Budget'!B166</f>
        <v>Building Decorum</v>
      </c>
      <c r="C164" s="65">
        <v>10000</v>
      </c>
      <c r="E164" s="65">
        <v>10000</v>
      </c>
      <c r="F164" s="106"/>
      <c r="H164" s="9"/>
    </row>
    <row r="165" spans="2:8">
      <c r="B165" s="95" t="str">
        <f>'3) Pre-Opening Budget'!B167</f>
        <v>Tenant Improvements</v>
      </c>
      <c r="C165" s="65">
        <v>48000</v>
      </c>
      <c r="E165" s="65">
        <v>48000</v>
      </c>
      <c r="F165" s="106" t="s">
        <v>784</v>
      </c>
      <c r="H165" s="9"/>
    </row>
    <row r="166" spans="2:8">
      <c r="B166" s="95" t="str">
        <f>'3) Pre-Opening Budget'!B168</f>
        <v>Fire &amp; Security Monitoring</v>
      </c>
      <c r="C166" s="65">
        <v>1608</v>
      </c>
      <c r="E166" s="65">
        <v>1608</v>
      </c>
      <c r="F166" s="106" t="s">
        <v>741</v>
      </c>
      <c r="H166" s="9"/>
    </row>
    <row r="167" spans="2:8">
      <c r="B167" s="95" t="str">
        <f>'3) Pre-Opening Budget'!B169</f>
        <v>Pest Control</v>
      </c>
      <c r="C167" s="65">
        <v>3655</v>
      </c>
      <c r="E167" s="65">
        <v>3655</v>
      </c>
      <c r="F167" s="106" t="s">
        <v>743</v>
      </c>
      <c r="H167" s="9"/>
    </row>
    <row r="168" spans="2:8">
      <c r="B168" s="681" t="s">
        <v>822</v>
      </c>
      <c r="C168" s="65">
        <v>0</v>
      </c>
      <c r="E168" s="65">
        <v>80000</v>
      </c>
      <c r="F168" s="106"/>
      <c r="H168" s="9"/>
    </row>
    <row r="169" spans="2:8">
      <c r="B169" s="95" t="str">
        <f>'3) Pre-Opening Budget'!B172</f>
        <v>Other</v>
      </c>
      <c r="C169" s="65">
        <v>0</v>
      </c>
      <c r="E169" s="65">
        <v>0</v>
      </c>
      <c r="F169" s="106"/>
      <c r="H169" s="9"/>
    </row>
    <row r="170" spans="2:8">
      <c r="B170" s="29"/>
      <c r="C170" s="42"/>
      <c r="D170" s="42"/>
      <c r="E170" s="55"/>
      <c r="F170" s="112"/>
      <c r="H170" s="9"/>
    </row>
    <row r="171" spans="2:8">
      <c r="B171" s="29" t="s">
        <v>175</v>
      </c>
      <c r="C171" s="42"/>
      <c r="D171" s="42"/>
      <c r="E171" s="55"/>
      <c r="F171" s="112"/>
      <c r="H171" s="9"/>
    </row>
    <row r="172" spans="2:8">
      <c r="B172" s="95" t="str">
        <f>'3) Pre-Opening Budget'!B175</f>
        <v>Staff Recruitment</v>
      </c>
      <c r="C172" s="65">
        <v>5000</v>
      </c>
      <c r="E172" s="65">
        <v>5000</v>
      </c>
      <c r="F172" s="106"/>
      <c r="H172" s="9"/>
    </row>
    <row r="173" spans="2:8" ht="16.350000000000001" customHeight="1">
      <c r="B173" s="95" t="str">
        <f>'3) Pre-Opening Budget'!B176</f>
        <v>Student Recruitment &amp; Community Engagement</v>
      </c>
      <c r="C173" s="65">
        <v>15000</v>
      </c>
      <c r="E173" s="65">
        <v>15000</v>
      </c>
      <c r="F173" s="106" t="s">
        <v>736</v>
      </c>
      <c r="H173" s="9"/>
    </row>
    <row r="174" spans="2:8">
      <c r="B174" s="95" t="str">
        <f>'3) Pre-Opening Budget'!B177</f>
        <v>Parent &amp; Staff Meetings</v>
      </c>
      <c r="C174" s="65">
        <v>3000</v>
      </c>
      <c r="E174" s="65">
        <v>3000</v>
      </c>
      <c r="F174" s="106"/>
      <c r="H174" s="9"/>
    </row>
    <row r="175" spans="2:8">
      <c r="B175" s="95" t="str">
        <f>'3) Pre-Opening Budget'!B178</f>
        <v>Authorizer Fee</v>
      </c>
      <c r="C175" s="65">
        <v>35000</v>
      </c>
      <c r="E175" s="65">
        <v>35000</v>
      </c>
      <c r="F175" s="106"/>
      <c r="H175" s="9"/>
    </row>
    <row r="176" spans="2:8">
      <c r="B176" s="95" t="s">
        <v>786</v>
      </c>
      <c r="C176" s="65">
        <v>250704</v>
      </c>
      <c r="E176" s="65">
        <v>250704</v>
      </c>
      <c r="F176" s="106"/>
      <c r="H176" s="9"/>
    </row>
    <row r="177" spans="2:8">
      <c r="B177" s="95" t="str">
        <f>'3) Pre-Opening Budget'!B179</f>
        <v>Travel-employee</v>
      </c>
      <c r="C177" s="65">
        <v>6400</v>
      </c>
      <c r="E177" s="65">
        <v>6400</v>
      </c>
      <c r="F177" s="106"/>
      <c r="H177" s="9"/>
    </row>
    <row r="178" spans="2:8">
      <c r="B178" s="29"/>
      <c r="C178" s="42"/>
      <c r="D178" s="42"/>
      <c r="E178" s="55"/>
      <c r="F178" s="112"/>
      <c r="H178" s="9"/>
    </row>
    <row r="179" spans="2:8">
      <c r="B179" s="29" t="s">
        <v>180</v>
      </c>
      <c r="C179" s="42"/>
      <c r="D179" s="42"/>
      <c r="E179" s="55"/>
      <c r="F179" s="112"/>
      <c r="H179" s="9"/>
    </row>
    <row r="180" spans="2:8">
      <c r="B180" s="95" t="str">
        <f>'3) Pre-Opening Budget'!B182</f>
        <v>Other</v>
      </c>
      <c r="C180" s="65">
        <v>0</v>
      </c>
      <c r="E180" s="65">
        <v>0</v>
      </c>
      <c r="F180" s="106"/>
      <c r="H180" s="9"/>
    </row>
    <row r="181" spans="2:8">
      <c r="B181" s="95" t="str">
        <f>'3) Pre-Opening Budget'!B183</f>
        <v>Other</v>
      </c>
      <c r="C181" s="65">
        <v>0</v>
      </c>
      <c r="E181" s="65">
        <v>0</v>
      </c>
      <c r="F181" s="106"/>
      <c r="H181" s="9"/>
    </row>
    <row r="182" spans="2:8">
      <c r="B182" s="95" t="str">
        <f>'3) Pre-Opening Budget'!B184</f>
        <v>Other</v>
      </c>
      <c r="C182" s="65">
        <v>0</v>
      </c>
      <c r="E182" s="65">
        <v>0</v>
      </c>
      <c r="F182" s="106"/>
      <c r="H182" s="9"/>
    </row>
    <row r="183" spans="2:8">
      <c r="B183" s="95" t="str">
        <f>'3) Pre-Opening Budget'!B185</f>
        <v>Other</v>
      </c>
      <c r="C183" s="65">
        <v>0</v>
      </c>
      <c r="E183" s="65">
        <v>0</v>
      </c>
      <c r="F183" s="106"/>
      <c r="H183" s="9"/>
    </row>
    <row r="184" spans="2:8">
      <c r="B184" s="95" t="str">
        <f>'3) Pre-Opening Budget'!B186</f>
        <v>Other</v>
      </c>
      <c r="C184" s="65">
        <v>0</v>
      </c>
      <c r="E184" s="65">
        <v>0</v>
      </c>
      <c r="F184" s="106"/>
      <c r="H184" s="9"/>
    </row>
    <row r="185" spans="2:8">
      <c r="B185" s="29"/>
      <c r="C185" s="42"/>
      <c r="D185" s="42"/>
      <c r="E185" s="55"/>
      <c r="F185" s="55"/>
      <c r="H185" s="9"/>
    </row>
    <row r="186" spans="2:8" ht="15.75" thickBot="1">
      <c r="B186" s="29" t="s">
        <v>181</v>
      </c>
      <c r="C186" s="42"/>
      <c r="D186" s="42"/>
      <c r="E186" s="54">
        <f>SUM(E122:E136,E139:E153,E156:E169,E172:E177,E180:E184)</f>
        <v>1277604</v>
      </c>
      <c r="F186" s="55"/>
      <c r="H186" s="9"/>
    </row>
    <row r="187" spans="2:8" ht="15.75" thickTop="1">
      <c r="B187" s="29"/>
      <c r="C187" s="42"/>
      <c r="D187" s="42"/>
      <c r="E187" s="55"/>
      <c r="F187" s="55"/>
      <c r="H187" s="9"/>
    </row>
    <row r="188" spans="2:8" ht="19.5" thickBot="1">
      <c r="B188" s="64" t="s">
        <v>182</v>
      </c>
      <c r="C188" s="42"/>
      <c r="D188" s="42"/>
      <c r="E188" s="54">
        <f>E86+E111+E186</f>
        <v>2752385.8383999998</v>
      </c>
      <c r="F188" s="55"/>
      <c r="H188" s="9"/>
    </row>
    <row r="189" spans="2:8" ht="16.5" thickTop="1" thickBot="1">
      <c r="B189" s="20"/>
      <c r="C189" s="21"/>
      <c r="D189" s="21"/>
      <c r="E189" s="21"/>
      <c r="F189" s="21"/>
      <c r="G189" s="21"/>
      <c r="H189" s="22"/>
    </row>
    <row r="192" spans="2:8">
      <c r="E192" t="s">
        <v>805</v>
      </c>
      <c r="F192" s="122"/>
    </row>
    <row r="193" spans="5:5">
      <c r="E193" s="679">
        <f>E49-E188</f>
        <v>51529.520512109157</v>
      </c>
    </row>
  </sheetData>
  <mergeCells count="4">
    <mergeCell ref="C8:F8"/>
    <mergeCell ref="C51:F51"/>
    <mergeCell ref="C89:F89"/>
    <mergeCell ref="C114:F114"/>
  </mergeCells>
  <pageMargins left="0.7" right="0.7" top="0.75" bottom="0.75" header="0.3" footer="0.3"/>
  <pageSetup scale="59" fitToHeight="6" orientation="landscape" horizontalDpi="1200" verticalDpi="1200" r:id="rId1"/>
  <headerFooter>
    <oddFooter>&amp;L&amp;A&amp;RPage &amp;P of &amp;N</oddFooter>
  </headerFooter>
  <rowBreaks count="3" manualBreakCount="3">
    <brk id="50" max="8" man="1"/>
    <brk id="112" max="8" man="1"/>
    <brk id="154" max="8"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pageSetUpPr fitToPage="1"/>
  </sheetPr>
  <dimension ref="A1:V232"/>
  <sheetViews>
    <sheetView showGridLines="0" topLeftCell="A40" zoomScale="75" zoomScaleNormal="75" zoomScaleSheetLayoutView="100" workbookViewId="0">
      <selection activeCell="Q59" sqref="Q59"/>
    </sheetView>
  </sheetViews>
  <sheetFormatPr defaultColWidth="8.7109375" defaultRowHeight="15"/>
  <cols>
    <col min="1" max="1" width="4.7109375" customWidth="1"/>
    <col min="2" max="2" width="31" customWidth="1"/>
    <col min="3" max="3" width="3" hidden="1" customWidth="1"/>
    <col min="4" max="4" width="3.28515625" hidden="1" customWidth="1"/>
    <col min="5" max="19" width="12.7109375" customWidth="1"/>
    <col min="20" max="20" width="43.7109375" bestFit="1" customWidth="1"/>
    <col min="21" max="23" width="4.7109375" customWidth="1"/>
  </cols>
  <sheetData>
    <row r="1" spans="1:22" ht="15.75" thickBot="1"/>
    <row r="2" spans="1:22">
      <c r="B2" s="5"/>
      <c r="C2" s="6"/>
      <c r="D2" s="6"/>
      <c r="E2" s="6"/>
      <c r="F2" s="6"/>
      <c r="G2" s="6"/>
      <c r="H2" s="6"/>
      <c r="I2" s="6"/>
      <c r="J2" s="6"/>
      <c r="K2" s="6"/>
      <c r="L2" s="6"/>
      <c r="M2" s="6"/>
      <c r="N2" s="6"/>
      <c r="O2" s="6"/>
      <c r="P2" s="6"/>
      <c r="Q2" s="6"/>
      <c r="R2" s="6"/>
      <c r="S2" s="6"/>
      <c r="T2" s="6"/>
      <c r="U2" s="6"/>
      <c r="V2" s="7"/>
    </row>
    <row r="3" spans="1:22">
      <c r="B3" s="8"/>
      <c r="E3" s="784" t="str">
        <f>IF('1) Proposed School Information'!E12="","ENTER SCHOOL NAME ON PROPOSED SCHOOL INFO SHEET",'1) Proposed School Information'!E12)</f>
        <v>Knoxville Prep</v>
      </c>
      <c r="F3" s="784"/>
      <c r="G3" s="754"/>
      <c r="H3" s="754"/>
      <c r="I3" s="754"/>
      <c r="J3" s="754"/>
      <c r="K3" s="754"/>
      <c r="L3" s="754"/>
      <c r="M3" s="754"/>
      <c r="N3" s="754"/>
      <c r="O3" s="754"/>
      <c r="P3" s="754"/>
      <c r="Q3" s="754"/>
      <c r="R3" s="754"/>
      <c r="S3" s="754"/>
      <c r="V3" s="9"/>
    </row>
    <row r="4" spans="1:22">
      <c r="B4" s="8"/>
      <c r="E4" s="784" t="s">
        <v>14</v>
      </c>
      <c r="F4" s="784"/>
      <c r="G4" s="754"/>
      <c r="H4" s="754"/>
      <c r="I4" s="754"/>
      <c r="J4" s="754"/>
      <c r="K4" s="754"/>
      <c r="L4" s="754"/>
      <c r="M4" s="754"/>
      <c r="N4" s="754"/>
      <c r="O4" s="754"/>
      <c r="P4" s="754"/>
      <c r="Q4" s="754"/>
      <c r="R4" s="754"/>
      <c r="S4" s="754"/>
      <c r="V4" s="9"/>
    </row>
    <row r="5" spans="1:22">
      <c r="B5" s="8"/>
      <c r="E5" s="784" t="s">
        <v>249</v>
      </c>
      <c r="F5" s="784"/>
      <c r="G5" s="754"/>
      <c r="H5" s="754"/>
      <c r="I5" s="754"/>
      <c r="J5" s="754"/>
      <c r="K5" s="754"/>
      <c r="L5" s="754"/>
      <c r="M5" s="754"/>
      <c r="N5" s="754"/>
      <c r="O5" s="754"/>
      <c r="P5" s="754"/>
      <c r="Q5" s="754"/>
      <c r="R5" s="754"/>
      <c r="S5" s="754"/>
      <c r="V5" s="9"/>
    </row>
    <row r="6" spans="1:22">
      <c r="B6" s="8"/>
      <c r="E6" t="s">
        <v>303</v>
      </c>
      <c r="F6" t="s">
        <v>806</v>
      </c>
      <c r="G6" t="s">
        <v>805</v>
      </c>
      <c r="V6" s="9"/>
    </row>
    <row r="7" spans="1:22">
      <c r="B7" s="8"/>
      <c r="E7" s="122">
        <f>E22</f>
        <v>2803915.3589121089</v>
      </c>
      <c r="F7" s="122">
        <f>E225</f>
        <v>2752385.8383999998</v>
      </c>
      <c r="G7" s="122">
        <f>E7-F7</f>
        <v>51529.520512109157</v>
      </c>
      <c r="V7" s="9"/>
    </row>
    <row r="8" spans="1:22" ht="14.85" customHeight="1">
      <c r="B8" s="8"/>
      <c r="C8" s="123" t="s">
        <v>184</v>
      </c>
      <c r="D8" s="71"/>
      <c r="E8" s="785" t="s">
        <v>184</v>
      </c>
      <c r="F8" s="786"/>
      <c r="G8" s="786"/>
      <c r="H8" s="786"/>
      <c r="I8" s="786"/>
      <c r="J8" s="786"/>
      <c r="K8" s="786"/>
      <c r="L8" s="786"/>
      <c r="M8" s="786"/>
      <c r="N8" s="786"/>
      <c r="O8" s="786"/>
      <c r="P8" s="786"/>
      <c r="Q8" s="786"/>
      <c r="R8" s="786"/>
      <c r="S8" s="786"/>
      <c r="V8" s="9"/>
    </row>
    <row r="9" spans="1:22">
      <c r="B9" s="8"/>
      <c r="V9" s="9"/>
    </row>
    <row r="10" spans="1:22">
      <c r="A10" s="45"/>
      <c r="B10" s="34"/>
      <c r="C10" s="45"/>
      <c r="D10" s="2"/>
      <c r="E10" s="72" t="s">
        <v>42</v>
      </c>
      <c r="F10" s="72" t="str">
        <f>E10</f>
        <v>Year 1</v>
      </c>
      <c r="G10" s="72" t="str">
        <f t="shared" ref="G10:S10" si="0">F10</f>
        <v>Year 1</v>
      </c>
      <c r="H10" s="72" t="str">
        <f t="shared" si="0"/>
        <v>Year 1</v>
      </c>
      <c r="I10" s="72" t="str">
        <f t="shared" si="0"/>
        <v>Year 1</v>
      </c>
      <c r="J10" s="72" t="str">
        <f t="shared" si="0"/>
        <v>Year 1</v>
      </c>
      <c r="K10" s="72" t="str">
        <f t="shared" si="0"/>
        <v>Year 1</v>
      </c>
      <c r="L10" s="72" t="str">
        <f t="shared" si="0"/>
        <v>Year 1</v>
      </c>
      <c r="M10" s="72" t="str">
        <f t="shared" si="0"/>
        <v>Year 1</v>
      </c>
      <c r="N10" s="72" t="str">
        <f t="shared" si="0"/>
        <v>Year 1</v>
      </c>
      <c r="O10" s="72" t="str">
        <f t="shared" si="0"/>
        <v>Year 1</v>
      </c>
      <c r="P10" s="72" t="str">
        <f t="shared" si="0"/>
        <v>Year 1</v>
      </c>
      <c r="Q10" s="72" t="str">
        <f t="shared" si="0"/>
        <v>Year 1</v>
      </c>
      <c r="R10" s="72" t="str">
        <f t="shared" si="0"/>
        <v>Year 1</v>
      </c>
      <c r="S10" s="72" t="str">
        <f t="shared" si="0"/>
        <v>Year 1</v>
      </c>
      <c r="T10" s="73"/>
      <c r="V10" s="9"/>
    </row>
    <row r="11" spans="1:22">
      <c r="A11" s="45"/>
      <c r="B11" s="34"/>
      <c r="C11" s="45"/>
      <c r="D11" s="2"/>
      <c r="E11" s="74" t="str">
        <f>IF('1) Proposed School Information'!E21="Select Year"," ",'1) Proposed School Information'!E21)</f>
        <v>2024-25</v>
      </c>
      <c r="F11" s="74" t="str">
        <f>E11</f>
        <v>2024-25</v>
      </c>
      <c r="G11" s="74" t="str">
        <f t="shared" ref="G11:S11" si="1">F11</f>
        <v>2024-25</v>
      </c>
      <c r="H11" s="74" t="str">
        <f t="shared" si="1"/>
        <v>2024-25</v>
      </c>
      <c r="I11" s="74" t="str">
        <f t="shared" si="1"/>
        <v>2024-25</v>
      </c>
      <c r="J11" s="74" t="str">
        <f t="shared" si="1"/>
        <v>2024-25</v>
      </c>
      <c r="K11" s="74" t="str">
        <f t="shared" si="1"/>
        <v>2024-25</v>
      </c>
      <c r="L11" s="74" t="str">
        <f t="shared" si="1"/>
        <v>2024-25</v>
      </c>
      <c r="M11" s="74" t="str">
        <f t="shared" si="1"/>
        <v>2024-25</v>
      </c>
      <c r="N11" s="74" t="str">
        <f t="shared" si="1"/>
        <v>2024-25</v>
      </c>
      <c r="O11" s="74" t="str">
        <f t="shared" si="1"/>
        <v>2024-25</v>
      </c>
      <c r="P11" s="74" t="str">
        <f t="shared" si="1"/>
        <v>2024-25</v>
      </c>
      <c r="Q11" s="74" t="str">
        <f t="shared" si="1"/>
        <v>2024-25</v>
      </c>
      <c r="R11" s="74" t="str">
        <f t="shared" si="1"/>
        <v>2024-25</v>
      </c>
      <c r="S11" s="74" t="str">
        <f t="shared" si="1"/>
        <v>2024-25</v>
      </c>
      <c r="T11" s="73"/>
      <c r="V11" s="9"/>
    </row>
    <row r="12" spans="1:22">
      <c r="A12" s="45"/>
      <c r="B12" s="34"/>
      <c r="C12" s="42"/>
      <c r="D12" s="3"/>
      <c r="E12" s="75" t="s">
        <v>185</v>
      </c>
      <c r="F12" s="75" t="s">
        <v>186</v>
      </c>
      <c r="G12" s="75" t="s">
        <v>187</v>
      </c>
      <c r="H12" s="75" t="s">
        <v>188</v>
      </c>
      <c r="I12" s="75" t="s">
        <v>189</v>
      </c>
      <c r="J12" s="75" t="s">
        <v>190</v>
      </c>
      <c r="K12" s="75" t="s">
        <v>191</v>
      </c>
      <c r="L12" s="75" t="s">
        <v>192</v>
      </c>
      <c r="M12" s="75" t="s">
        <v>193</v>
      </c>
      <c r="N12" s="75" t="s">
        <v>194</v>
      </c>
      <c r="O12" s="75" t="s">
        <v>195</v>
      </c>
      <c r="P12" s="75" t="s">
        <v>196</v>
      </c>
      <c r="Q12" s="75" t="s">
        <v>197</v>
      </c>
      <c r="R12" s="75" t="s">
        <v>198</v>
      </c>
      <c r="S12" s="75" t="s">
        <v>199</v>
      </c>
      <c r="T12" s="76"/>
      <c r="V12" s="9"/>
    </row>
    <row r="13" spans="1:22">
      <c r="A13" s="45"/>
      <c r="B13" s="34"/>
      <c r="C13" s="45"/>
      <c r="D13" s="2"/>
      <c r="E13" s="76"/>
      <c r="F13" s="76"/>
      <c r="G13" s="76"/>
      <c r="H13" s="76"/>
      <c r="I13" s="76"/>
      <c r="J13" s="76"/>
      <c r="K13" s="76"/>
      <c r="L13" s="76"/>
      <c r="M13" s="76"/>
      <c r="N13" s="76"/>
      <c r="O13" s="76"/>
      <c r="P13" s="76"/>
      <c r="Q13" s="76"/>
      <c r="R13" s="76"/>
      <c r="S13" s="76"/>
      <c r="T13" s="76"/>
      <c r="V13" s="9"/>
    </row>
    <row r="14" spans="1:22">
      <c r="A14" s="45"/>
      <c r="B14" s="32" t="s">
        <v>200</v>
      </c>
      <c r="C14" s="42"/>
      <c r="D14" s="4"/>
      <c r="E14" s="61">
        <f>'4) Pre-Opening Cash Flow'!Q43</f>
        <v>752583.23749999946</v>
      </c>
      <c r="F14" s="61">
        <f>E14</f>
        <v>752583.23749999946</v>
      </c>
      <c r="G14" s="61">
        <f>F43</f>
        <v>676530.82179999945</v>
      </c>
      <c r="H14" s="61">
        <f t="shared" ref="H14:Q14" si="2">G43</f>
        <v>696894.25699121028</v>
      </c>
      <c r="I14" s="61">
        <f t="shared" si="2"/>
        <v>717257.6921824211</v>
      </c>
      <c r="J14" s="61">
        <f t="shared" si="2"/>
        <v>737621.12737363193</v>
      </c>
      <c r="K14" s="61">
        <f t="shared" si="2"/>
        <v>757984.56256484275</v>
      </c>
      <c r="L14" s="61">
        <f t="shared" si="2"/>
        <v>778347.99775605358</v>
      </c>
      <c r="M14" s="61">
        <f t="shared" si="2"/>
        <v>798711.4329472644</v>
      </c>
      <c r="N14" s="61">
        <f t="shared" si="2"/>
        <v>819074.86813847523</v>
      </c>
      <c r="O14" s="61">
        <f t="shared" si="2"/>
        <v>839438.30332968605</v>
      </c>
      <c r="P14" s="61">
        <f t="shared" si="2"/>
        <v>859801.73852089688</v>
      </c>
      <c r="Q14" s="61">
        <f t="shared" si="2"/>
        <v>783749.32282089686</v>
      </c>
      <c r="R14" s="47"/>
      <c r="S14" s="47"/>
      <c r="T14" s="76"/>
      <c r="V14" s="9"/>
    </row>
    <row r="15" spans="1:22">
      <c r="A15" s="45"/>
      <c r="B15" s="34"/>
      <c r="C15" s="45"/>
      <c r="D15" s="2"/>
      <c r="E15" s="76"/>
      <c r="F15" s="76"/>
      <c r="G15" s="76"/>
      <c r="H15" s="76"/>
      <c r="I15" s="76"/>
      <c r="J15" s="76"/>
      <c r="K15" s="76"/>
      <c r="L15" s="76"/>
      <c r="M15" s="76"/>
      <c r="N15" s="76"/>
      <c r="O15" s="76"/>
      <c r="P15" s="76"/>
      <c r="Q15" s="76"/>
      <c r="R15" s="76"/>
      <c r="S15" s="76"/>
      <c r="T15" s="76"/>
      <c r="V15" s="9"/>
    </row>
    <row r="16" spans="1:22">
      <c r="A16" s="45"/>
      <c r="B16" s="32" t="s">
        <v>201</v>
      </c>
      <c r="C16" s="45"/>
      <c r="D16" s="2"/>
      <c r="E16" s="77"/>
      <c r="F16" s="76"/>
      <c r="G16" s="76"/>
      <c r="H16" s="76"/>
      <c r="I16" s="76"/>
      <c r="J16" s="76"/>
      <c r="K16" s="76"/>
      <c r="L16" s="76"/>
      <c r="M16" s="76"/>
      <c r="N16" s="76"/>
      <c r="O16" s="76"/>
      <c r="P16" s="76"/>
      <c r="Q16" s="76"/>
      <c r="R16" s="76"/>
      <c r="S16" s="76"/>
      <c r="T16" s="76"/>
      <c r="V16" s="9"/>
    </row>
    <row r="17" spans="1:22">
      <c r="A17" s="45"/>
      <c r="B17" s="34" t="s">
        <v>92</v>
      </c>
      <c r="C17" s="45"/>
      <c r="D17" s="2"/>
      <c r="E17" s="77">
        <f>SUM(E56:E60)</f>
        <v>1191958.5089121088</v>
      </c>
      <c r="F17" s="77">
        <f t="shared" ref="F17:S17" si="3">SUM(F56:F60)</f>
        <v>18983.333333333332</v>
      </c>
      <c r="G17" s="77">
        <f t="shared" si="3"/>
        <v>115399.18422454421</v>
      </c>
      <c r="H17" s="77">
        <f t="shared" si="3"/>
        <v>115399.18422454421</v>
      </c>
      <c r="I17" s="77">
        <f t="shared" si="3"/>
        <v>115399.18422454421</v>
      </c>
      <c r="J17" s="77">
        <f t="shared" si="3"/>
        <v>115399.18422454421</v>
      </c>
      <c r="K17" s="77">
        <f t="shared" si="3"/>
        <v>115399.18422454421</v>
      </c>
      <c r="L17" s="77">
        <f t="shared" si="3"/>
        <v>115399.18422454421</v>
      </c>
      <c r="M17" s="77">
        <f t="shared" si="3"/>
        <v>115399.18422454421</v>
      </c>
      <c r="N17" s="77">
        <f t="shared" si="3"/>
        <v>115399.18422454421</v>
      </c>
      <c r="O17" s="77">
        <f t="shared" si="3"/>
        <v>115399.18422454421</v>
      </c>
      <c r="P17" s="77">
        <f t="shared" si="3"/>
        <v>18983.333333333332</v>
      </c>
      <c r="Q17" s="77">
        <f t="shared" si="3"/>
        <v>115399.18422454421</v>
      </c>
      <c r="R17" s="77">
        <f t="shared" si="3"/>
        <v>1191958.5089121088</v>
      </c>
      <c r="S17" s="77">
        <f t="shared" si="3"/>
        <v>0</v>
      </c>
      <c r="T17" s="76"/>
      <c r="V17" s="9"/>
    </row>
    <row r="18" spans="1:22">
      <c r="A18" s="45"/>
      <c r="B18" s="34" t="s">
        <v>88</v>
      </c>
      <c r="C18" s="45"/>
      <c r="D18" s="2"/>
      <c r="E18" s="77">
        <f>SUM(E62:E70)</f>
        <v>341956.85</v>
      </c>
      <c r="F18" s="77">
        <f t="shared" ref="F18:S18" si="4">SUM(F62:F70)</f>
        <v>28496.404166666667</v>
      </c>
      <c r="G18" s="77">
        <f t="shared" si="4"/>
        <v>28496.404166666667</v>
      </c>
      <c r="H18" s="77">
        <f t="shared" si="4"/>
        <v>28496.404166666667</v>
      </c>
      <c r="I18" s="77">
        <f t="shared" si="4"/>
        <v>28496.404166666667</v>
      </c>
      <c r="J18" s="77">
        <f t="shared" si="4"/>
        <v>28496.404166666667</v>
      </c>
      <c r="K18" s="77">
        <f t="shared" si="4"/>
        <v>28496.404166666667</v>
      </c>
      <c r="L18" s="77">
        <f t="shared" si="4"/>
        <v>28496.404166666667</v>
      </c>
      <c r="M18" s="77">
        <f t="shared" si="4"/>
        <v>28496.404166666667</v>
      </c>
      <c r="N18" s="77">
        <f t="shared" si="4"/>
        <v>28496.404166666667</v>
      </c>
      <c r="O18" s="77">
        <f t="shared" si="4"/>
        <v>28496.404166666667</v>
      </c>
      <c r="P18" s="77">
        <f t="shared" si="4"/>
        <v>28496.404166666667</v>
      </c>
      <c r="Q18" s="77">
        <f t="shared" si="4"/>
        <v>28496.404166666667</v>
      </c>
      <c r="R18" s="77">
        <f t="shared" si="4"/>
        <v>341956.85</v>
      </c>
      <c r="S18" s="77">
        <f t="shared" si="4"/>
        <v>0</v>
      </c>
      <c r="T18" s="76"/>
      <c r="V18" s="9"/>
    </row>
    <row r="19" spans="1:22">
      <c r="A19" s="45"/>
      <c r="B19" s="34" t="s">
        <v>103</v>
      </c>
      <c r="C19" s="45"/>
      <c r="D19" s="2"/>
      <c r="E19" s="77">
        <f>SUM(E73:E77)</f>
        <v>0</v>
      </c>
      <c r="F19" s="77">
        <f t="shared" ref="F19:S19" si="5">SUM(F73:F77)</f>
        <v>0</v>
      </c>
      <c r="G19" s="77">
        <f t="shared" si="5"/>
        <v>0</v>
      </c>
      <c r="H19" s="77">
        <f t="shared" si="5"/>
        <v>0</v>
      </c>
      <c r="I19" s="77">
        <f t="shared" si="5"/>
        <v>0</v>
      </c>
      <c r="J19" s="77">
        <f t="shared" si="5"/>
        <v>0</v>
      </c>
      <c r="K19" s="77">
        <f t="shared" si="5"/>
        <v>0</v>
      </c>
      <c r="L19" s="77">
        <f t="shared" si="5"/>
        <v>0</v>
      </c>
      <c r="M19" s="77">
        <f t="shared" si="5"/>
        <v>0</v>
      </c>
      <c r="N19" s="77">
        <f t="shared" si="5"/>
        <v>0</v>
      </c>
      <c r="O19" s="77">
        <f t="shared" si="5"/>
        <v>0</v>
      </c>
      <c r="P19" s="77">
        <f t="shared" si="5"/>
        <v>0</v>
      </c>
      <c r="Q19" s="77">
        <f t="shared" si="5"/>
        <v>0</v>
      </c>
      <c r="R19" s="77">
        <f t="shared" si="5"/>
        <v>0</v>
      </c>
      <c r="S19" s="77">
        <f t="shared" si="5"/>
        <v>0</v>
      </c>
      <c r="T19" s="76"/>
      <c r="V19" s="9"/>
    </row>
    <row r="20" spans="1:22">
      <c r="A20" s="45"/>
      <c r="B20" s="34" t="s">
        <v>104</v>
      </c>
      <c r="C20" s="45"/>
      <c r="D20" s="2"/>
      <c r="E20" s="77">
        <f>'6) Year 1 Budget'!E44+'6) Year 1 Budget'!E45</f>
        <v>1270000</v>
      </c>
      <c r="F20" s="77">
        <f t="shared" ref="F20:S20" si="6">SUM(F80:F84)</f>
        <v>105833.33333333333</v>
      </c>
      <c r="G20" s="77">
        <f t="shared" si="6"/>
        <v>105833.33333333333</v>
      </c>
      <c r="H20" s="77">
        <f t="shared" si="6"/>
        <v>105833.33333333333</v>
      </c>
      <c r="I20" s="77">
        <f t="shared" si="6"/>
        <v>105833.33333333333</v>
      </c>
      <c r="J20" s="77">
        <f t="shared" si="6"/>
        <v>105833.33333333333</v>
      </c>
      <c r="K20" s="77">
        <f t="shared" si="6"/>
        <v>105833.33333333333</v>
      </c>
      <c r="L20" s="77">
        <f t="shared" si="6"/>
        <v>105833.33333333333</v>
      </c>
      <c r="M20" s="77">
        <f t="shared" si="6"/>
        <v>105833.33333333333</v>
      </c>
      <c r="N20" s="77">
        <f t="shared" si="6"/>
        <v>105833.33333333333</v>
      </c>
      <c r="O20" s="77">
        <f t="shared" si="6"/>
        <v>105833.33333333333</v>
      </c>
      <c r="P20" s="77">
        <f t="shared" si="6"/>
        <v>105833.33333333333</v>
      </c>
      <c r="Q20" s="77">
        <f t="shared" si="6"/>
        <v>105833.33333333333</v>
      </c>
      <c r="R20" s="77">
        <f t="shared" si="6"/>
        <v>1270000</v>
      </c>
      <c r="S20" s="77">
        <f t="shared" si="6"/>
        <v>0</v>
      </c>
      <c r="T20" s="76"/>
      <c r="V20" s="9"/>
    </row>
    <row r="21" spans="1:22">
      <c r="A21" s="45"/>
      <c r="B21" s="34"/>
      <c r="C21" s="45"/>
      <c r="D21" s="2"/>
      <c r="E21" s="76"/>
      <c r="F21" s="76"/>
      <c r="G21" s="76"/>
      <c r="H21" s="76"/>
      <c r="I21" s="76"/>
      <c r="J21" s="76"/>
      <c r="K21" s="76"/>
      <c r="L21" s="76"/>
      <c r="M21" s="76"/>
      <c r="N21" s="76"/>
      <c r="O21" s="76"/>
      <c r="P21" s="76"/>
      <c r="Q21" s="76"/>
      <c r="R21" s="76"/>
      <c r="S21" s="76"/>
      <c r="T21" s="76"/>
      <c r="V21" s="9"/>
    </row>
    <row r="22" spans="1:22" ht="15.75" thickBot="1">
      <c r="A22" s="45"/>
      <c r="B22" s="32" t="s">
        <v>106</v>
      </c>
      <c r="C22" s="45"/>
      <c r="D22" s="2"/>
      <c r="E22" s="78">
        <f>SUM(E17:E20)</f>
        <v>2803915.3589121089</v>
      </c>
      <c r="F22" s="78">
        <f t="shared" ref="F22:S22" si="7">SUM(F17:F20)</f>
        <v>153313.07083333333</v>
      </c>
      <c r="G22" s="78">
        <f t="shared" si="7"/>
        <v>249728.9217245442</v>
      </c>
      <c r="H22" s="78">
        <f t="shared" si="7"/>
        <v>249728.9217245442</v>
      </c>
      <c r="I22" s="78">
        <f t="shared" si="7"/>
        <v>249728.9217245442</v>
      </c>
      <c r="J22" s="78">
        <f t="shared" si="7"/>
        <v>249728.9217245442</v>
      </c>
      <c r="K22" s="78">
        <f t="shared" si="7"/>
        <v>249728.9217245442</v>
      </c>
      <c r="L22" s="78">
        <f t="shared" si="7"/>
        <v>249728.9217245442</v>
      </c>
      <c r="M22" s="78">
        <f t="shared" si="7"/>
        <v>249728.9217245442</v>
      </c>
      <c r="N22" s="78">
        <f t="shared" si="7"/>
        <v>249728.9217245442</v>
      </c>
      <c r="O22" s="78">
        <f t="shared" si="7"/>
        <v>249728.9217245442</v>
      </c>
      <c r="P22" s="78">
        <f t="shared" si="7"/>
        <v>153313.07083333333</v>
      </c>
      <c r="Q22" s="78">
        <f t="shared" si="7"/>
        <v>249728.9217245442</v>
      </c>
      <c r="R22" s="78">
        <f t="shared" si="7"/>
        <v>2803915.3589121089</v>
      </c>
      <c r="S22" s="78">
        <f t="shared" si="7"/>
        <v>0</v>
      </c>
      <c r="T22" s="76"/>
      <c r="V22" s="9"/>
    </row>
    <row r="23" spans="1:22" ht="15.75" thickTop="1">
      <c r="A23" s="45"/>
      <c r="B23" s="34"/>
      <c r="C23" s="45"/>
      <c r="D23" s="2"/>
      <c r="E23" s="76"/>
      <c r="F23" s="76"/>
      <c r="G23" s="76"/>
      <c r="H23" s="76"/>
      <c r="I23" s="76"/>
      <c r="J23" s="76"/>
      <c r="K23" s="76"/>
      <c r="L23" s="76"/>
      <c r="M23" s="76"/>
      <c r="N23" s="76"/>
      <c r="O23" s="76"/>
      <c r="P23" s="76"/>
      <c r="Q23" s="76"/>
      <c r="R23" s="76"/>
      <c r="S23" s="76"/>
      <c r="T23" s="76"/>
      <c r="V23" s="9"/>
    </row>
    <row r="24" spans="1:22">
      <c r="A24" s="45"/>
      <c r="B24" s="32" t="s">
        <v>202</v>
      </c>
      <c r="C24" s="45"/>
      <c r="D24" s="2"/>
      <c r="E24" s="76"/>
      <c r="F24" s="76"/>
      <c r="G24" s="76"/>
      <c r="H24" s="76"/>
      <c r="I24" s="76"/>
      <c r="J24" s="76"/>
      <c r="K24" s="76"/>
      <c r="L24" s="76"/>
      <c r="M24" s="76"/>
      <c r="N24" s="76"/>
      <c r="O24" s="76"/>
      <c r="P24" s="76"/>
      <c r="Q24" s="76"/>
      <c r="R24" s="76"/>
      <c r="S24" s="76"/>
      <c r="T24" s="76"/>
      <c r="V24" s="9"/>
    </row>
    <row r="25" spans="1:22">
      <c r="A25" s="45"/>
      <c r="B25" s="34" t="s">
        <v>203</v>
      </c>
      <c r="C25" s="45"/>
      <c r="D25" s="2"/>
      <c r="E25" s="77">
        <f>E123</f>
        <v>1096812</v>
      </c>
      <c r="F25" s="77">
        <f t="shared" ref="F25:S25" si="8">F123</f>
        <v>91401</v>
      </c>
      <c r="G25" s="77">
        <f t="shared" si="8"/>
        <v>91401</v>
      </c>
      <c r="H25" s="77">
        <f t="shared" si="8"/>
        <v>91401</v>
      </c>
      <c r="I25" s="77">
        <f t="shared" si="8"/>
        <v>91401</v>
      </c>
      <c r="J25" s="77">
        <f t="shared" si="8"/>
        <v>91401</v>
      </c>
      <c r="K25" s="77">
        <f t="shared" si="8"/>
        <v>91401</v>
      </c>
      <c r="L25" s="77">
        <f t="shared" si="8"/>
        <v>91401</v>
      </c>
      <c r="M25" s="77">
        <f t="shared" si="8"/>
        <v>91401</v>
      </c>
      <c r="N25" s="77">
        <f t="shared" si="8"/>
        <v>91401</v>
      </c>
      <c r="O25" s="77">
        <f t="shared" si="8"/>
        <v>91401</v>
      </c>
      <c r="P25" s="77">
        <f t="shared" si="8"/>
        <v>91401</v>
      </c>
      <c r="Q25" s="77">
        <f t="shared" si="8"/>
        <v>91401</v>
      </c>
      <c r="R25" s="77">
        <f t="shared" si="8"/>
        <v>1096812</v>
      </c>
      <c r="S25" s="77">
        <f t="shared" si="8"/>
        <v>0</v>
      </c>
      <c r="T25" s="76"/>
      <c r="V25" s="9"/>
    </row>
    <row r="26" spans="1:22">
      <c r="A26" s="45"/>
      <c r="B26" s="34" t="s">
        <v>204</v>
      </c>
      <c r="C26" s="45"/>
      <c r="D26" s="2"/>
      <c r="E26" s="77">
        <f>E148</f>
        <v>377969.83840000001</v>
      </c>
      <c r="F26" s="77">
        <f t="shared" ref="F26:S26" si="9">F148</f>
        <v>31497.486533333336</v>
      </c>
      <c r="G26" s="77">
        <f t="shared" si="9"/>
        <v>31497.486533333336</v>
      </c>
      <c r="H26" s="77">
        <f t="shared" si="9"/>
        <v>31497.486533333336</v>
      </c>
      <c r="I26" s="77">
        <f t="shared" si="9"/>
        <v>31497.486533333336</v>
      </c>
      <c r="J26" s="77">
        <f t="shared" si="9"/>
        <v>31497.486533333336</v>
      </c>
      <c r="K26" s="77">
        <f t="shared" si="9"/>
        <v>31497.486533333336</v>
      </c>
      <c r="L26" s="77">
        <f t="shared" si="9"/>
        <v>31497.486533333336</v>
      </c>
      <c r="M26" s="77">
        <f t="shared" si="9"/>
        <v>31497.486533333336</v>
      </c>
      <c r="N26" s="77">
        <f t="shared" si="9"/>
        <v>31497.486533333336</v>
      </c>
      <c r="O26" s="77">
        <f t="shared" si="9"/>
        <v>31497.486533333336</v>
      </c>
      <c r="P26" s="77">
        <f t="shared" si="9"/>
        <v>31497.486533333336</v>
      </c>
      <c r="Q26" s="77">
        <f t="shared" si="9"/>
        <v>31497.486533333336</v>
      </c>
      <c r="R26" s="77">
        <f t="shared" si="9"/>
        <v>377969.83839999995</v>
      </c>
      <c r="S26" s="77">
        <f t="shared" si="9"/>
        <v>0</v>
      </c>
      <c r="T26" s="76"/>
      <c r="V26" s="9"/>
    </row>
    <row r="27" spans="1:22">
      <c r="A27" s="45"/>
      <c r="B27" s="34" t="s">
        <v>132</v>
      </c>
      <c r="C27" s="45"/>
      <c r="D27" s="2"/>
      <c r="E27" s="77">
        <f t="shared" ref="E27:S27" si="10">SUM(E159:E173)</f>
        <v>371932</v>
      </c>
      <c r="F27" s="77">
        <f t="shared" si="10"/>
        <v>30994.333333333336</v>
      </c>
      <c r="G27" s="77">
        <f t="shared" si="10"/>
        <v>30994.333333333336</v>
      </c>
      <c r="H27" s="77">
        <f t="shared" si="10"/>
        <v>30994.333333333336</v>
      </c>
      <c r="I27" s="77">
        <f t="shared" si="10"/>
        <v>30994.333333333336</v>
      </c>
      <c r="J27" s="77">
        <f t="shared" si="10"/>
        <v>30994.333333333336</v>
      </c>
      <c r="K27" s="77">
        <f t="shared" si="10"/>
        <v>30994.333333333336</v>
      </c>
      <c r="L27" s="77">
        <f t="shared" si="10"/>
        <v>30994.333333333336</v>
      </c>
      <c r="M27" s="77">
        <f t="shared" si="10"/>
        <v>30994.333333333336</v>
      </c>
      <c r="N27" s="77">
        <f t="shared" si="10"/>
        <v>30994.333333333336</v>
      </c>
      <c r="O27" s="77">
        <f t="shared" si="10"/>
        <v>30994.333333333336</v>
      </c>
      <c r="P27" s="77">
        <f t="shared" si="10"/>
        <v>30994.333333333336</v>
      </c>
      <c r="Q27" s="77">
        <f t="shared" si="10"/>
        <v>30994.333333333336</v>
      </c>
      <c r="R27" s="77">
        <f t="shared" si="10"/>
        <v>371932</v>
      </c>
      <c r="S27" s="77">
        <f t="shared" si="10"/>
        <v>0</v>
      </c>
      <c r="T27" s="76"/>
      <c r="V27" s="9"/>
    </row>
    <row r="28" spans="1:22">
      <c r="A28" s="45"/>
      <c r="B28" s="34" t="s">
        <v>148</v>
      </c>
      <c r="C28" s="45"/>
      <c r="D28" s="2"/>
      <c r="E28" s="77">
        <f>SUM(E176:E190)</f>
        <v>239505</v>
      </c>
      <c r="F28" s="77">
        <f t="shared" ref="F28:S28" si="11">SUM(F176:F190)</f>
        <v>19958.75</v>
      </c>
      <c r="G28" s="77">
        <f t="shared" si="11"/>
        <v>19958.75</v>
      </c>
      <c r="H28" s="77">
        <f t="shared" si="11"/>
        <v>19958.75</v>
      </c>
      <c r="I28" s="77">
        <f t="shared" si="11"/>
        <v>19958.75</v>
      </c>
      <c r="J28" s="77">
        <f t="shared" si="11"/>
        <v>19958.75</v>
      </c>
      <c r="K28" s="77">
        <f t="shared" si="11"/>
        <v>19958.75</v>
      </c>
      <c r="L28" s="77">
        <f t="shared" si="11"/>
        <v>19958.75</v>
      </c>
      <c r="M28" s="77">
        <f t="shared" si="11"/>
        <v>19958.75</v>
      </c>
      <c r="N28" s="77">
        <f t="shared" si="11"/>
        <v>19958.75</v>
      </c>
      <c r="O28" s="77">
        <f t="shared" si="11"/>
        <v>19958.75</v>
      </c>
      <c r="P28" s="77">
        <f t="shared" si="11"/>
        <v>19958.75</v>
      </c>
      <c r="Q28" s="77">
        <f t="shared" si="11"/>
        <v>19958.75</v>
      </c>
      <c r="R28" s="77">
        <f t="shared" si="11"/>
        <v>239505</v>
      </c>
      <c r="S28" s="77">
        <f t="shared" si="11"/>
        <v>0</v>
      </c>
      <c r="T28" s="76"/>
      <c r="V28" s="9"/>
    </row>
    <row r="29" spans="1:22">
      <c r="A29" s="45"/>
      <c r="B29" s="34" t="s">
        <v>205</v>
      </c>
      <c r="C29" s="45"/>
      <c r="D29" s="2"/>
      <c r="E29" s="77">
        <f t="shared" ref="E29:S29" si="12">SUM(E193:E206)</f>
        <v>351063</v>
      </c>
      <c r="F29" s="77">
        <f t="shared" si="12"/>
        <v>29255.249999999996</v>
      </c>
      <c r="G29" s="77">
        <f t="shared" si="12"/>
        <v>29255.249999999996</v>
      </c>
      <c r="H29" s="77">
        <f t="shared" si="12"/>
        <v>29255.249999999996</v>
      </c>
      <c r="I29" s="77">
        <f t="shared" si="12"/>
        <v>29255.249999999996</v>
      </c>
      <c r="J29" s="77">
        <f t="shared" si="12"/>
        <v>29255.249999999996</v>
      </c>
      <c r="K29" s="77">
        <f t="shared" si="12"/>
        <v>29255.249999999996</v>
      </c>
      <c r="L29" s="77">
        <f t="shared" si="12"/>
        <v>29255.249999999996</v>
      </c>
      <c r="M29" s="77">
        <f t="shared" si="12"/>
        <v>29255.249999999996</v>
      </c>
      <c r="N29" s="77">
        <f t="shared" si="12"/>
        <v>29255.249999999996</v>
      </c>
      <c r="O29" s="77">
        <f t="shared" si="12"/>
        <v>29255.249999999996</v>
      </c>
      <c r="P29" s="77">
        <f t="shared" si="12"/>
        <v>29255.249999999996</v>
      </c>
      <c r="Q29" s="77">
        <f t="shared" si="12"/>
        <v>29255.249999999996</v>
      </c>
      <c r="R29" s="77">
        <f t="shared" si="12"/>
        <v>351063</v>
      </c>
      <c r="S29" s="77">
        <f t="shared" si="12"/>
        <v>0</v>
      </c>
      <c r="T29" s="76"/>
      <c r="V29" s="9"/>
    </row>
    <row r="30" spans="1:22">
      <c r="A30" s="45"/>
      <c r="B30" s="34" t="s">
        <v>175</v>
      </c>
      <c r="C30" s="45"/>
      <c r="D30" s="2"/>
      <c r="E30" s="77">
        <f>SUM(E209:E214)</f>
        <v>315104</v>
      </c>
      <c r="F30" s="77">
        <f t="shared" ref="F30:S30" si="13">SUM(F209:F214)</f>
        <v>26258.666666666664</v>
      </c>
      <c r="G30" s="77">
        <f t="shared" si="13"/>
        <v>26258.666666666664</v>
      </c>
      <c r="H30" s="77">
        <f t="shared" si="13"/>
        <v>26258.666666666664</v>
      </c>
      <c r="I30" s="77">
        <f t="shared" si="13"/>
        <v>26258.666666666664</v>
      </c>
      <c r="J30" s="77">
        <f t="shared" si="13"/>
        <v>26258.666666666664</v>
      </c>
      <c r="K30" s="77">
        <f t="shared" si="13"/>
        <v>26258.666666666664</v>
      </c>
      <c r="L30" s="77">
        <f t="shared" si="13"/>
        <v>26258.666666666664</v>
      </c>
      <c r="M30" s="77">
        <f t="shared" si="13"/>
        <v>26258.666666666664</v>
      </c>
      <c r="N30" s="77">
        <f t="shared" si="13"/>
        <v>26258.666666666664</v>
      </c>
      <c r="O30" s="77">
        <f t="shared" si="13"/>
        <v>26258.666666666664</v>
      </c>
      <c r="P30" s="77">
        <f t="shared" si="13"/>
        <v>26258.666666666664</v>
      </c>
      <c r="Q30" s="77">
        <f t="shared" si="13"/>
        <v>26258.666666666664</v>
      </c>
      <c r="R30" s="77">
        <f t="shared" si="13"/>
        <v>315104</v>
      </c>
      <c r="S30" s="77">
        <f t="shared" si="13"/>
        <v>0</v>
      </c>
      <c r="T30" s="76"/>
      <c r="V30" s="9"/>
    </row>
    <row r="31" spans="1:22">
      <c r="A31" s="45"/>
      <c r="B31" s="34" t="s">
        <v>180</v>
      </c>
      <c r="C31" s="45"/>
      <c r="D31" s="2"/>
      <c r="E31" s="77">
        <f>SUM(E217:E221)</f>
        <v>0</v>
      </c>
      <c r="F31" s="77">
        <f t="shared" ref="F31:S31" si="14">SUM(F217:F221)</f>
        <v>0</v>
      </c>
      <c r="G31" s="77">
        <f t="shared" si="14"/>
        <v>0</v>
      </c>
      <c r="H31" s="77">
        <f t="shared" si="14"/>
        <v>0</v>
      </c>
      <c r="I31" s="77">
        <f t="shared" si="14"/>
        <v>0</v>
      </c>
      <c r="J31" s="77">
        <f t="shared" si="14"/>
        <v>0</v>
      </c>
      <c r="K31" s="77">
        <f t="shared" si="14"/>
        <v>0</v>
      </c>
      <c r="L31" s="77">
        <f t="shared" si="14"/>
        <v>0</v>
      </c>
      <c r="M31" s="77">
        <f t="shared" si="14"/>
        <v>0</v>
      </c>
      <c r="N31" s="77">
        <f t="shared" si="14"/>
        <v>0</v>
      </c>
      <c r="O31" s="77">
        <f t="shared" si="14"/>
        <v>0</v>
      </c>
      <c r="P31" s="77">
        <f t="shared" si="14"/>
        <v>0</v>
      </c>
      <c r="Q31" s="77">
        <f t="shared" si="14"/>
        <v>0</v>
      </c>
      <c r="R31" s="77">
        <f t="shared" si="14"/>
        <v>0</v>
      </c>
      <c r="S31" s="77">
        <f t="shared" si="14"/>
        <v>0</v>
      </c>
      <c r="T31" s="76"/>
      <c r="V31" s="9"/>
    </row>
    <row r="32" spans="1:22">
      <c r="A32" s="45"/>
      <c r="B32" s="34"/>
      <c r="C32" s="45"/>
      <c r="D32" s="2"/>
      <c r="E32" s="76"/>
      <c r="F32" s="76"/>
      <c r="G32" s="76"/>
      <c r="H32" s="76"/>
      <c r="I32" s="76"/>
      <c r="J32" s="76"/>
      <c r="K32" s="76"/>
      <c r="L32" s="76"/>
      <c r="M32" s="76"/>
      <c r="N32" s="76"/>
      <c r="O32" s="76"/>
      <c r="P32" s="76"/>
      <c r="Q32" s="76"/>
      <c r="R32" s="76"/>
      <c r="S32" s="76"/>
      <c r="T32" s="76"/>
      <c r="V32" s="9"/>
    </row>
    <row r="33" spans="1:22" ht="15.75" thickBot="1">
      <c r="A33" s="45"/>
      <c r="B33" s="32" t="s">
        <v>182</v>
      </c>
      <c r="C33" s="45"/>
      <c r="D33" s="2"/>
      <c r="E33" s="78">
        <f>SUM(E25:E31)</f>
        <v>2752385.8383999998</v>
      </c>
      <c r="F33" s="78">
        <f t="shared" ref="F33:R33" si="15">SUM(F25:F31)</f>
        <v>229365.48653333334</v>
      </c>
      <c r="G33" s="78">
        <f t="shared" si="15"/>
        <v>229365.48653333334</v>
      </c>
      <c r="H33" s="78">
        <f t="shared" si="15"/>
        <v>229365.48653333334</v>
      </c>
      <c r="I33" s="78">
        <f t="shared" si="15"/>
        <v>229365.48653333334</v>
      </c>
      <c r="J33" s="78">
        <f t="shared" si="15"/>
        <v>229365.48653333334</v>
      </c>
      <c r="K33" s="78">
        <f t="shared" si="15"/>
        <v>229365.48653333334</v>
      </c>
      <c r="L33" s="78">
        <f t="shared" si="15"/>
        <v>229365.48653333334</v>
      </c>
      <c r="M33" s="78">
        <f t="shared" si="15"/>
        <v>229365.48653333334</v>
      </c>
      <c r="N33" s="78">
        <f t="shared" si="15"/>
        <v>229365.48653333334</v>
      </c>
      <c r="O33" s="78">
        <f t="shared" si="15"/>
        <v>229365.48653333334</v>
      </c>
      <c r="P33" s="78">
        <f t="shared" si="15"/>
        <v>229365.48653333334</v>
      </c>
      <c r="Q33" s="78">
        <f t="shared" si="15"/>
        <v>229365.48653333334</v>
      </c>
      <c r="R33" s="78">
        <f t="shared" si="15"/>
        <v>2752385.8383999998</v>
      </c>
      <c r="S33" s="78">
        <f>SUM(S25:S31)</f>
        <v>0</v>
      </c>
      <c r="T33" s="76"/>
      <c r="V33" s="9"/>
    </row>
    <row r="34" spans="1:22" ht="15.75" thickTop="1">
      <c r="A34" s="45"/>
      <c r="B34" s="34"/>
      <c r="C34" s="45"/>
      <c r="D34" s="2"/>
      <c r="E34" s="76"/>
      <c r="F34" s="76"/>
      <c r="G34" s="76"/>
      <c r="H34" s="76"/>
      <c r="I34" s="76"/>
      <c r="J34" s="76"/>
      <c r="K34" s="76"/>
      <c r="L34" s="76"/>
      <c r="M34" s="76"/>
      <c r="N34" s="76"/>
      <c r="O34" s="76"/>
      <c r="P34" s="76"/>
      <c r="Q34" s="76"/>
      <c r="R34" s="76"/>
      <c r="S34" s="76"/>
      <c r="T34" s="76"/>
      <c r="V34" s="9"/>
    </row>
    <row r="35" spans="1:22" ht="15.75" thickBot="1">
      <c r="A35" s="45"/>
      <c r="B35" s="34" t="s">
        <v>206</v>
      </c>
      <c r="C35" s="45"/>
      <c r="D35" s="2"/>
      <c r="E35" s="78">
        <f>E22-E33</f>
        <v>51529.520512109157</v>
      </c>
      <c r="F35" s="78">
        <f t="shared" ref="F35:S35" si="16">F22-F33</f>
        <v>-76052.415700000012</v>
      </c>
      <c r="G35" s="78">
        <f t="shared" si="16"/>
        <v>20363.435191210854</v>
      </c>
      <c r="H35" s="78">
        <f t="shared" si="16"/>
        <v>20363.435191210854</v>
      </c>
      <c r="I35" s="78">
        <f t="shared" si="16"/>
        <v>20363.435191210854</v>
      </c>
      <c r="J35" s="78">
        <f t="shared" si="16"/>
        <v>20363.435191210854</v>
      </c>
      <c r="K35" s="78">
        <f t="shared" si="16"/>
        <v>20363.435191210854</v>
      </c>
      <c r="L35" s="78">
        <f t="shared" si="16"/>
        <v>20363.435191210854</v>
      </c>
      <c r="M35" s="78">
        <f t="shared" si="16"/>
        <v>20363.435191210854</v>
      </c>
      <c r="N35" s="78">
        <f t="shared" si="16"/>
        <v>20363.435191210854</v>
      </c>
      <c r="O35" s="78">
        <f t="shared" si="16"/>
        <v>20363.435191210854</v>
      </c>
      <c r="P35" s="78">
        <f t="shared" si="16"/>
        <v>-76052.415700000012</v>
      </c>
      <c r="Q35" s="78">
        <f t="shared" si="16"/>
        <v>20363.435191210854</v>
      </c>
      <c r="R35" s="78">
        <f t="shared" si="16"/>
        <v>51529.520512109157</v>
      </c>
      <c r="S35" s="78">
        <f t="shared" si="16"/>
        <v>0</v>
      </c>
      <c r="T35" s="76"/>
      <c r="V35" s="9"/>
    </row>
    <row r="36" spans="1:22" ht="15.75" thickTop="1">
      <c r="A36" s="45"/>
      <c r="B36" s="34"/>
      <c r="C36" s="45"/>
      <c r="D36" s="2"/>
      <c r="E36" s="76"/>
      <c r="F36" s="76"/>
      <c r="G36" s="76"/>
      <c r="H36" s="76"/>
      <c r="I36" s="76"/>
      <c r="J36" s="76"/>
      <c r="K36" s="76"/>
      <c r="L36" s="76"/>
      <c r="M36" s="76"/>
      <c r="N36" s="76"/>
      <c r="O36" s="76"/>
      <c r="P36" s="76"/>
      <c r="Q36" s="76"/>
      <c r="R36" s="76"/>
      <c r="S36" s="76"/>
      <c r="T36" s="76"/>
      <c r="V36" s="9"/>
    </row>
    <row r="37" spans="1:22">
      <c r="A37" s="45"/>
      <c r="B37" s="34" t="s">
        <v>207</v>
      </c>
      <c r="C37" s="45"/>
      <c r="D37" s="2"/>
      <c r="E37" s="75"/>
      <c r="F37" s="66">
        <v>0</v>
      </c>
      <c r="G37" s="66">
        <v>0</v>
      </c>
      <c r="H37" s="66">
        <v>0</v>
      </c>
      <c r="I37" s="66">
        <v>0</v>
      </c>
      <c r="J37" s="66">
        <v>0</v>
      </c>
      <c r="K37" s="66">
        <v>0</v>
      </c>
      <c r="L37" s="66">
        <v>0</v>
      </c>
      <c r="M37" s="66">
        <v>0</v>
      </c>
      <c r="N37" s="66">
        <v>0</v>
      </c>
      <c r="O37" s="66">
        <v>0</v>
      </c>
      <c r="P37" s="66">
        <v>0</v>
      </c>
      <c r="Q37" s="66">
        <v>0</v>
      </c>
      <c r="R37" s="76"/>
      <c r="S37" s="76"/>
      <c r="T37" s="76"/>
      <c r="V37" s="9"/>
    </row>
    <row r="38" spans="1:22">
      <c r="A38" s="45"/>
      <c r="B38" s="34" t="s">
        <v>208</v>
      </c>
      <c r="C38" s="45"/>
      <c r="D38" s="2"/>
      <c r="E38" s="75"/>
      <c r="F38" s="66">
        <v>0</v>
      </c>
      <c r="G38" s="66">
        <v>0</v>
      </c>
      <c r="H38" s="66">
        <v>0</v>
      </c>
      <c r="I38" s="66">
        <v>0</v>
      </c>
      <c r="J38" s="66">
        <v>0</v>
      </c>
      <c r="K38" s="66">
        <v>0</v>
      </c>
      <c r="L38" s="66">
        <v>0</v>
      </c>
      <c r="M38" s="66">
        <v>0</v>
      </c>
      <c r="N38" s="66">
        <v>0</v>
      </c>
      <c r="O38" s="66">
        <v>0</v>
      </c>
      <c r="P38" s="66">
        <v>0</v>
      </c>
      <c r="Q38" s="66">
        <v>0</v>
      </c>
      <c r="R38" s="76"/>
      <c r="S38" s="76"/>
      <c r="T38" s="76"/>
      <c r="V38" s="9"/>
    </row>
    <row r="39" spans="1:22">
      <c r="A39" s="45"/>
      <c r="B39" s="34" t="s">
        <v>209</v>
      </c>
      <c r="C39" s="45"/>
      <c r="D39" s="2"/>
      <c r="E39" s="75"/>
      <c r="F39" s="66">
        <v>0</v>
      </c>
      <c r="G39" s="66">
        <v>0</v>
      </c>
      <c r="H39" s="66">
        <v>0</v>
      </c>
      <c r="I39" s="66">
        <v>0</v>
      </c>
      <c r="J39" s="66">
        <v>0</v>
      </c>
      <c r="K39" s="66">
        <v>0</v>
      </c>
      <c r="L39" s="66">
        <v>0</v>
      </c>
      <c r="M39" s="66">
        <v>0</v>
      </c>
      <c r="N39" s="66">
        <v>0</v>
      </c>
      <c r="O39" s="66">
        <v>0</v>
      </c>
      <c r="P39" s="66">
        <v>0</v>
      </c>
      <c r="Q39" s="66">
        <v>0</v>
      </c>
      <c r="R39" s="76"/>
      <c r="S39" s="76"/>
      <c r="T39" s="76"/>
      <c r="V39" s="9"/>
    </row>
    <row r="40" spans="1:22">
      <c r="A40" s="45"/>
      <c r="B40" s="34" t="s">
        <v>210</v>
      </c>
      <c r="C40" s="45"/>
      <c r="D40" s="2"/>
      <c r="E40" s="75"/>
      <c r="F40" s="66">
        <v>0</v>
      </c>
      <c r="G40" s="66">
        <v>0</v>
      </c>
      <c r="H40" s="66">
        <v>0</v>
      </c>
      <c r="I40" s="66">
        <v>0</v>
      </c>
      <c r="J40" s="66">
        <v>0</v>
      </c>
      <c r="K40" s="66">
        <v>0</v>
      </c>
      <c r="L40" s="66">
        <v>0</v>
      </c>
      <c r="M40" s="66">
        <v>0</v>
      </c>
      <c r="N40" s="66">
        <v>0</v>
      </c>
      <c r="O40" s="66">
        <v>0</v>
      </c>
      <c r="P40" s="66">
        <v>0</v>
      </c>
      <c r="Q40" s="66">
        <v>0</v>
      </c>
      <c r="R40" s="76"/>
      <c r="S40" s="76"/>
      <c r="T40" s="76"/>
      <c r="V40" s="9"/>
    </row>
    <row r="41" spans="1:22">
      <c r="A41" s="45"/>
      <c r="B41" s="34" t="s">
        <v>211</v>
      </c>
      <c r="C41" s="45"/>
      <c r="D41" s="2"/>
      <c r="E41" s="75"/>
      <c r="F41" s="66">
        <v>0</v>
      </c>
      <c r="G41" s="66">
        <v>0</v>
      </c>
      <c r="H41" s="66">
        <v>0</v>
      </c>
      <c r="I41" s="66">
        <v>0</v>
      </c>
      <c r="J41" s="66">
        <v>0</v>
      </c>
      <c r="K41" s="66">
        <v>0</v>
      </c>
      <c r="L41" s="66">
        <v>0</v>
      </c>
      <c r="M41" s="66">
        <v>0</v>
      </c>
      <c r="N41" s="66">
        <v>0</v>
      </c>
      <c r="O41" s="66">
        <v>0</v>
      </c>
      <c r="P41" s="66">
        <v>0</v>
      </c>
      <c r="Q41" s="66">
        <v>0</v>
      </c>
      <c r="R41" s="76"/>
      <c r="S41" s="76"/>
      <c r="T41" s="76"/>
      <c r="V41" s="9"/>
    </row>
    <row r="42" spans="1:22">
      <c r="A42" s="45"/>
      <c r="B42" s="34"/>
      <c r="C42" s="45"/>
      <c r="D42" s="2"/>
      <c r="E42" s="76"/>
      <c r="F42" s="76"/>
      <c r="G42" s="76"/>
      <c r="H42" s="76"/>
      <c r="I42" s="76"/>
      <c r="J42" s="76"/>
      <c r="K42" s="76"/>
      <c r="L42" s="76"/>
      <c r="M42" s="76"/>
      <c r="N42" s="76"/>
      <c r="O42" s="76"/>
      <c r="P42" s="76"/>
      <c r="Q42" s="76"/>
      <c r="R42" s="76"/>
      <c r="S42" s="76"/>
      <c r="T42" s="76"/>
      <c r="V42" s="9"/>
    </row>
    <row r="43" spans="1:22" ht="15.75" thickBot="1">
      <c r="A43" s="45"/>
      <c r="B43" s="32" t="s">
        <v>212</v>
      </c>
      <c r="C43" s="42"/>
      <c r="D43" s="4"/>
      <c r="E43" s="47"/>
      <c r="F43" s="79">
        <f>F14+F35+SUM(F37:F41)</f>
        <v>676530.82179999945</v>
      </c>
      <c r="G43" s="79">
        <f t="shared" ref="G43:Q43" si="17">G14+G35+SUM(G37:G41)</f>
        <v>696894.25699121028</v>
      </c>
      <c r="H43" s="79">
        <f t="shared" si="17"/>
        <v>717257.6921824211</v>
      </c>
      <c r="I43" s="79">
        <f t="shared" si="17"/>
        <v>737621.12737363193</v>
      </c>
      <c r="J43" s="79">
        <f t="shared" si="17"/>
        <v>757984.56256484275</v>
      </c>
      <c r="K43" s="79">
        <f t="shared" si="17"/>
        <v>778347.99775605358</v>
      </c>
      <c r="L43" s="79">
        <f t="shared" si="17"/>
        <v>798711.4329472644</v>
      </c>
      <c r="M43" s="79">
        <f t="shared" si="17"/>
        <v>819074.86813847523</v>
      </c>
      <c r="N43" s="79">
        <f t="shared" si="17"/>
        <v>839438.30332968605</v>
      </c>
      <c r="O43" s="79">
        <f t="shared" si="17"/>
        <v>859801.73852089688</v>
      </c>
      <c r="P43" s="79">
        <f t="shared" si="17"/>
        <v>783749.32282089686</v>
      </c>
      <c r="Q43" s="79">
        <f t="shared" si="17"/>
        <v>804112.75801210769</v>
      </c>
      <c r="R43" s="61"/>
      <c r="S43" s="61"/>
      <c r="T43" s="76"/>
      <c r="V43" s="9"/>
    </row>
    <row r="44" spans="1:22" ht="16.5" thickTop="1" thickBot="1">
      <c r="A44" s="45"/>
      <c r="B44" s="121"/>
      <c r="C44" s="148"/>
      <c r="D44" s="149"/>
      <c r="E44" s="150"/>
      <c r="F44" s="150"/>
      <c r="G44" s="150"/>
      <c r="H44" s="150"/>
      <c r="I44" s="150"/>
      <c r="J44" s="150"/>
      <c r="K44" s="150"/>
      <c r="L44" s="150"/>
      <c r="M44" s="150"/>
      <c r="N44" s="150"/>
      <c r="O44" s="150"/>
      <c r="P44" s="150"/>
      <c r="Q44" s="150"/>
      <c r="R44" s="150"/>
      <c r="S44" s="150"/>
      <c r="T44" s="150"/>
      <c r="U44" s="21"/>
      <c r="V44" s="22"/>
    </row>
    <row r="45" spans="1:22">
      <c r="A45" s="45"/>
      <c r="B45" s="142"/>
      <c r="C45" s="143"/>
      <c r="D45" s="144"/>
      <c r="E45" s="145"/>
      <c r="F45" s="145"/>
      <c r="G45" s="145"/>
      <c r="H45" s="145"/>
      <c r="I45" s="145"/>
      <c r="J45" s="145"/>
      <c r="K45" s="145"/>
      <c r="L45" s="145"/>
      <c r="M45" s="145"/>
      <c r="N45" s="145"/>
      <c r="O45" s="145"/>
      <c r="P45" s="145"/>
      <c r="Q45" s="145"/>
      <c r="R45" s="145"/>
      <c r="S45" s="145"/>
      <c r="T45" s="145"/>
      <c r="U45" s="6"/>
      <c r="V45" s="7"/>
    </row>
    <row r="46" spans="1:22">
      <c r="A46" s="45"/>
      <c r="B46" s="34"/>
      <c r="C46" s="45"/>
      <c r="D46" s="2"/>
      <c r="E46" s="783" t="s">
        <v>213</v>
      </c>
      <c r="F46" s="752"/>
      <c r="G46" s="766"/>
      <c r="H46" s="766"/>
      <c r="I46" s="766"/>
      <c r="J46" s="766"/>
      <c r="K46" s="766"/>
      <c r="L46" s="766"/>
      <c r="M46" s="766"/>
      <c r="N46" s="766"/>
      <c r="O46" s="766"/>
      <c r="P46" s="766"/>
      <c r="Q46" s="766"/>
      <c r="R46" s="766"/>
      <c r="S46" s="766"/>
      <c r="T46" s="76"/>
      <c r="V46" s="9"/>
    </row>
    <row r="47" spans="1:22">
      <c r="A47" s="45"/>
      <c r="B47" s="34"/>
      <c r="C47" s="45"/>
      <c r="D47" s="2"/>
      <c r="E47" s="76"/>
      <c r="F47" s="76"/>
      <c r="G47" s="76"/>
      <c r="H47" s="76"/>
      <c r="I47" s="76"/>
      <c r="J47" s="76"/>
      <c r="K47" s="76"/>
      <c r="L47" s="76"/>
      <c r="M47" s="76"/>
      <c r="N47" s="76"/>
      <c r="O47" s="76"/>
      <c r="P47" s="76"/>
      <c r="Q47" s="76"/>
      <c r="R47" s="76"/>
      <c r="S47" s="76"/>
      <c r="T47" s="76"/>
      <c r="V47" s="9"/>
    </row>
    <row r="48" spans="1:22">
      <c r="A48" s="45"/>
      <c r="B48" s="34"/>
      <c r="C48" s="45"/>
      <c r="D48" s="2"/>
      <c r="E48" s="72" t="str">
        <f>E10</f>
        <v>Year 1</v>
      </c>
      <c r="F48" s="72" t="str">
        <f t="shared" ref="F48:S48" si="18">F10</f>
        <v>Year 1</v>
      </c>
      <c r="G48" s="72" t="str">
        <f t="shared" si="18"/>
        <v>Year 1</v>
      </c>
      <c r="H48" s="72" t="str">
        <f t="shared" si="18"/>
        <v>Year 1</v>
      </c>
      <c r="I48" s="72" t="str">
        <f t="shared" si="18"/>
        <v>Year 1</v>
      </c>
      <c r="J48" s="72" t="str">
        <f t="shared" si="18"/>
        <v>Year 1</v>
      </c>
      <c r="K48" s="72" t="str">
        <f t="shared" si="18"/>
        <v>Year 1</v>
      </c>
      <c r="L48" s="72" t="str">
        <f t="shared" si="18"/>
        <v>Year 1</v>
      </c>
      <c r="M48" s="72" t="str">
        <f t="shared" si="18"/>
        <v>Year 1</v>
      </c>
      <c r="N48" s="72" t="str">
        <f t="shared" si="18"/>
        <v>Year 1</v>
      </c>
      <c r="O48" s="72" t="str">
        <f t="shared" si="18"/>
        <v>Year 1</v>
      </c>
      <c r="P48" s="72" t="str">
        <f t="shared" si="18"/>
        <v>Year 1</v>
      </c>
      <c r="Q48" s="72" t="str">
        <f t="shared" si="18"/>
        <v>Year 1</v>
      </c>
      <c r="R48" s="72" t="str">
        <f t="shared" si="18"/>
        <v>Year 1</v>
      </c>
      <c r="S48" s="72" t="str">
        <f t="shared" si="18"/>
        <v>Year 1</v>
      </c>
      <c r="T48" s="76"/>
      <c r="V48" s="9"/>
    </row>
    <row r="49" spans="1:22">
      <c r="A49" s="45"/>
      <c r="B49" s="34"/>
      <c r="C49" s="45"/>
      <c r="D49" s="2"/>
      <c r="E49" s="72" t="str">
        <f t="shared" ref="E49:S50" si="19">E11</f>
        <v>2024-25</v>
      </c>
      <c r="F49" s="72" t="str">
        <f t="shared" si="19"/>
        <v>2024-25</v>
      </c>
      <c r="G49" s="72" t="str">
        <f t="shared" si="19"/>
        <v>2024-25</v>
      </c>
      <c r="H49" s="72" t="str">
        <f t="shared" si="19"/>
        <v>2024-25</v>
      </c>
      <c r="I49" s="72" t="str">
        <f t="shared" si="19"/>
        <v>2024-25</v>
      </c>
      <c r="J49" s="72" t="str">
        <f t="shared" si="19"/>
        <v>2024-25</v>
      </c>
      <c r="K49" s="72" t="str">
        <f t="shared" si="19"/>
        <v>2024-25</v>
      </c>
      <c r="L49" s="72" t="str">
        <f t="shared" si="19"/>
        <v>2024-25</v>
      </c>
      <c r="M49" s="72" t="str">
        <f t="shared" si="19"/>
        <v>2024-25</v>
      </c>
      <c r="N49" s="72" t="str">
        <f t="shared" si="19"/>
        <v>2024-25</v>
      </c>
      <c r="O49" s="72" t="str">
        <f t="shared" si="19"/>
        <v>2024-25</v>
      </c>
      <c r="P49" s="72" t="str">
        <f t="shared" si="19"/>
        <v>2024-25</v>
      </c>
      <c r="Q49" s="72" t="str">
        <f t="shared" si="19"/>
        <v>2024-25</v>
      </c>
      <c r="R49" s="72" t="str">
        <f t="shared" si="19"/>
        <v>2024-25</v>
      </c>
      <c r="S49" s="72" t="str">
        <f t="shared" si="19"/>
        <v>2024-25</v>
      </c>
      <c r="T49" s="76"/>
      <c r="V49" s="9"/>
    </row>
    <row r="50" spans="1:22">
      <c r="A50" s="45"/>
      <c r="B50" s="34"/>
      <c r="C50" s="45"/>
      <c r="D50" s="2"/>
      <c r="E50" s="83" t="str">
        <f t="shared" si="19"/>
        <v>Total Budget</v>
      </c>
      <c r="F50" s="83" t="str">
        <f t="shared" si="19"/>
        <v>July</v>
      </c>
      <c r="G50" s="83" t="str">
        <f t="shared" si="19"/>
        <v>August</v>
      </c>
      <c r="H50" s="83" t="str">
        <f t="shared" si="19"/>
        <v>September</v>
      </c>
      <c r="I50" s="83" t="str">
        <f t="shared" si="19"/>
        <v>October</v>
      </c>
      <c r="J50" s="83" t="str">
        <f t="shared" si="19"/>
        <v>November</v>
      </c>
      <c r="K50" s="83" t="str">
        <f t="shared" si="19"/>
        <v>December</v>
      </c>
      <c r="L50" s="83" t="str">
        <f t="shared" si="19"/>
        <v>January</v>
      </c>
      <c r="M50" s="83" t="str">
        <f t="shared" si="19"/>
        <v>February</v>
      </c>
      <c r="N50" s="83" t="str">
        <f t="shared" si="19"/>
        <v>March</v>
      </c>
      <c r="O50" s="83" t="str">
        <f t="shared" si="19"/>
        <v>April</v>
      </c>
      <c r="P50" s="83" t="str">
        <f t="shared" si="19"/>
        <v>May</v>
      </c>
      <c r="Q50" s="83" t="str">
        <f t="shared" si="19"/>
        <v>June</v>
      </c>
      <c r="R50" s="83" t="str">
        <f t="shared" si="19"/>
        <v>Total</v>
      </c>
      <c r="S50" s="83" t="str">
        <f t="shared" si="19"/>
        <v>AR/AP</v>
      </c>
      <c r="T50" s="76"/>
      <c r="V50" s="9"/>
    </row>
    <row r="51" spans="1:22">
      <c r="A51" s="45"/>
      <c r="B51" s="34"/>
      <c r="C51" s="45"/>
      <c r="D51" s="2"/>
      <c r="E51" s="76"/>
      <c r="F51" s="76"/>
      <c r="G51" s="76"/>
      <c r="H51" s="76"/>
      <c r="I51" s="76"/>
      <c r="J51" s="76"/>
      <c r="K51" s="76"/>
      <c r="L51" s="76"/>
      <c r="M51" s="76"/>
      <c r="N51" s="76"/>
      <c r="O51" s="76"/>
      <c r="P51" s="76"/>
      <c r="Q51" s="76"/>
      <c r="R51" s="76"/>
      <c r="S51" s="76"/>
      <c r="T51" s="76"/>
      <c r="V51" s="9"/>
    </row>
    <row r="52" spans="1:22">
      <c r="A52" s="45"/>
      <c r="B52" s="34"/>
      <c r="C52" s="45"/>
      <c r="D52" s="2"/>
      <c r="E52" s="76"/>
      <c r="F52" s="76"/>
      <c r="G52" s="76"/>
      <c r="H52" s="76"/>
      <c r="I52" s="76"/>
      <c r="J52" s="76"/>
      <c r="K52" s="76"/>
      <c r="L52" s="76"/>
      <c r="M52" s="76"/>
      <c r="N52" s="76"/>
      <c r="O52" s="76"/>
      <c r="P52" s="76"/>
      <c r="Q52" s="76"/>
      <c r="R52" s="76"/>
      <c r="S52" s="76"/>
      <c r="T52" s="76"/>
      <c r="V52" s="9"/>
    </row>
    <row r="53" spans="1:22">
      <c r="A53" s="45"/>
      <c r="B53" s="32" t="s">
        <v>201</v>
      </c>
      <c r="C53" s="45"/>
      <c r="D53" s="2"/>
      <c r="E53" s="783" t="s">
        <v>201</v>
      </c>
      <c r="F53" s="752"/>
      <c r="G53" s="766"/>
      <c r="H53" s="766"/>
      <c r="I53" s="766"/>
      <c r="J53" s="766"/>
      <c r="K53" s="766"/>
      <c r="L53" s="766"/>
      <c r="M53" s="766"/>
      <c r="N53" s="766"/>
      <c r="O53" s="766"/>
      <c r="P53" s="766"/>
      <c r="Q53" s="766"/>
      <c r="R53" s="766"/>
      <c r="S53" s="766"/>
      <c r="T53" s="47" t="s">
        <v>91</v>
      </c>
      <c r="V53" s="9"/>
    </row>
    <row r="54" spans="1:22">
      <c r="A54" s="45"/>
      <c r="B54" s="34"/>
      <c r="C54" s="45"/>
      <c r="D54" s="2"/>
      <c r="E54" s="76"/>
      <c r="F54" s="76"/>
      <c r="G54" s="76"/>
      <c r="H54" s="76"/>
      <c r="I54" s="76"/>
      <c r="J54" s="76"/>
      <c r="K54" s="76"/>
      <c r="L54" s="76"/>
      <c r="M54" s="76"/>
      <c r="N54" s="76"/>
      <c r="O54" s="76"/>
      <c r="P54" s="76"/>
      <c r="Q54" s="76"/>
      <c r="R54" s="76"/>
      <c r="S54" s="76"/>
      <c r="T54" s="76"/>
      <c r="V54" s="9"/>
    </row>
    <row r="55" spans="1:22">
      <c r="B55" s="32" t="s">
        <v>92</v>
      </c>
      <c r="C55" s="42"/>
      <c r="D55" s="45"/>
      <c r="E55" s="85"/>
      <c r="F55" s="85"/>
      <c r="G55" s="85"/>
      <c r="H55" s="85"/>
      <c r="I55" s="85"/>
      <c r="J55" s="85"/>
      <c r="K55" s="85"/>
      <c r="L55" s="85"/>
      <c r="M55" s="85"/>
      <c r="N55" s="85"/>
      <c r="O55" s="85"/>
      <c r="P55" s="85"/>
      <c r="Q55" s="85"/>
      <c r="R55" s="85"/>
      <c r="S55" s="85"/>
      <c r="T55" s="47" t="s">
        <v>91</v>
      </c>
      <c r="V55" s="9"/>
    </row>
    <row r="56" spans="1:22">
      <c r="B56" s="34" t="str">
        <f>'6) Year 1 Budget'!B19</f>
        <v>TISA Base Rate</v>
      </c>
      <c r="C56" s="80"/>
      <c r="E56" s="82">
        <f>'6) Year 1 Budget'!E19</f>
        <v>720300</v>
      </c>
      <c r="F56" s="65"/>
      <c r="G56" s="65">
        <f>$E56/10</f>
        <v>72030</v>
      </c>
      <c r="H56" s="65">
        <f t="shared" ref="H56:O58" si="20">$E56/10</f>
        <v>72030</v>
      </c>
      <c r="I56" s="65">
        <f t="shared" si="20"/>
        <v>72030</v>
      </c>
      <c r="J56" s="65">
        <f t="shared" si="20"/>
        <v>72030</v>
      </c>
      <c r="K56" s="65">
        <f t="shared" si="20"/>
        <v>72030</v>
      </c>
      <c r="L56" s="65">
        <f t="shared" si="20"/>
        <v>72030</v>
      </c>
      <c r="M56" s="65">
        <f t="shared" si="20"/>
        <v>72030</v>
      </c>
      <c r="N56" s="65">
        <f t="shared" si="20"/>
        <v>72030</v>
      </c>
      <c r="O56" s="65">
        <f t="shared" si="20"/>
        <v>72030</v>
      </c>
      <c r="P56" s="65"/>
      <c r="Q56" s="65">
        <f>$E56/10</f>
        <v>72030</v>
      </c>
      <c r="R56" s="58">
        <f>SUM(F56:Q56)</f>
        <v>720300</v>
      </c>
      <c r="S56" s="58">
        <f>E56-R56</f>
        <v>0</v>
      </c>
      <c r="T56" s="106" t="s">
        <v>258</v>
      </c>
      <c r="V56" s="9"/>
    </row>
    <row r="57" spans="1:22">
      <c r="B57" s="34" t="str">
        <f>'6) Year 1 Budget'!B20</f>
        <v>TISA Weights</v>
      </c>
      <c r="C57" s="80"/>
      <c r="E57" s="82">
        <f>'6) Year 1 Budget'!E20</f>
        <v>191358.50891210878</v>
      </c>
      <c r="F57" s="65"/>
      <c r="G57" s="65">
        <f>$E57/10</f>
        <v>19135.850891210877</v>
      </c>
      <c r="H57" s="65">
        <f t="shared" si="20"/>
        <v>19135.850891210877</v>
      </c>
      <c r="I57" s="65">
        <f t="shared" si="20"/>
        <v>19135.850891210877</v>
      </c>
      <c r="J57" s="65">
        <f t="shared" si="20"/>
        <v>19135.850891210877</v>
      </c>
      <c r="K57" s="65">
        <f t="shared" si="20"/>
        <v>19135.850891210877</v>
      </c>
      <c r="L57" s="65">
        <f t="shared" si="20"/>
        <v>19135.850891210877</v>
      </c>
      <c r="M57" s="65">
        <f t="shared" si="20"/>
        <v>19135.850891210877</v>
      </c>
      <c r="N57" s="65">
        <f t="shared" si="20"/>
        <v>19135.850891210877</v>
      </c>
      <c r="O57" s="65">
        <f t="shared" si="20"/>
        <v>19135.850891210877</v>
      </c>
      <c r="P57" s="65"/>
      <c r="Q57" s="65">
        <f>$E57/10</f>
        <v>19135.850891210877</v>
      </c>
      <c r="R57" s="58">
        <f t="shared" ref="R57:R60" si="21">SUM(F57:Q57)</f>
        <v>191358.50891210875</v>
      </c>
      <c r="S57" s="58">
        <f t="shared" ref="S57:S60" si="22">E57-R57</f>
        <v>0</v>
      </c>
      <c r="T57" s="106"/>
      <c r="V57" s="9"/>
    </row>
    <row r="58" spans="1:22">
      <c r="B58" s="34" t="str">
        <f>'6) Year 1 Budget'!B21</f>
        <v>TISA Direct</v>
      </c>
      <c r="C58" s="80"/>
      <c r="E58" s="82">
        <f>'6) Year 1 Budget'!E21</f>
        <v>52500</v>
      </c>
      <c r="F58" s="65"/>
      <c r="G58" s="65">
        <f>$E58/10</f>
        <v>5250</v>
      </c>
      <c r="H58" s="65">
        <f t="shared" si="20"/>
        <v>5250</v>
      </c>
      <c r="I58" s="65">
        <f t="shared" si="20"/>
        <v>5250</v>
      </c>
      <c r="J58" s="65">
        <f t="shared" si="20"/>
        <v>5250</v>
      </c>
      <c r="K58" s="65">
        <f t="shared" si="20"/>
        <v>5250</v>
      </c>
      <c r="L58" s="65">
        <f t="shared" si="20"/>
        <v>5250</v>
      </c>
      <c r="M58" s="65">
        <f t="shared" si="20"/>
        <v>5250</v>
      </c>
      <c r="N58" s="65">
        <f t="shared" si="20"/>
        <v>5250</v>
      </c>
      <c r="O58" s="65">
        <f t="shared" si="20"/>
        <v>5250</v>
      </c>
      <c r="P58" s="65"/>
      <c r="Q58" s="65">
        <f>$E58/10</f>
        <v>5250</v>
      </c>
      <c r="R58" s="58">
        <f t="shared" si="21"/>
        <v>52500</v>
      </c>
      <c r="S58" s="58">
        <f t="shared" si="22"/>
        <v>0</v>
      </c>
      <c r="T58" s="106"/>
      <c r="V58" s="9"/>
    </row>
    <row r="59" spans="1:22">
      <c r="B59" s="646" t="s">
        <v>801</v>
      </c>
      <c r="C59" s="80"/>
      <c r="E59" s="82">
        <v>85000</v>
      </c>
      <c r="F59" s="65">
        <f t="shared" ref="F59:F60" si="23">$E59/12</f>
        <v>7083.333333333333</v>
      </c>
      <c r="G59" s="65">
        <f t="shared" ref="G59:Q60" si="24">$E59/12</f>
        <v>7083.333333333333</v>
      </c>
      <c r="H59" s="65">
        <f t="shared" si="24"/>
        <v>7083.333333333333</v>
      </c>
      <c r="I59" s="65">
        <f t="shared" si="24"/>
        <v>7083.333333333333</v>
      </c>
      <c r="J59" s="65">
        <f t="shared" si="24"/>
        <v>7083.333333333333</v>
      </c>
      <c r="K59" s="65">
        <f t="shared" si="24"/>
        <v>7083.333333333333</v>
      </c>
      <c r="L59" s="65">
        <f t="shared" si="24"/>
        <v>7083.333333333333</v>
      </c>
      <c r="M59" s="65">
        <f t="shared" si="24"/>
        <v>7083.333333333333</v>
      </c>
      <c r="N59" s="65">
        <f t="shared" si="24"/>
        <v>7083.333333333333</v>
      </c>
      <c r="O59" s="65">
        <f t="shared" si="24"/>
        <v>7083.333333333333</v>
      </c>
      <c r="P59" s="65">
        <f t="shared" si="24"/>
        <v>7083.333333333333</v>
      </c>
      <c r="Q59" s="65">
        <f t="shared" si="24"/>
        <v>7083.333333333333</v>
      </c>
      <c r="R59" s="58">
        <f t="shared" si="21"/>
        <v>85000</v>
      </c>
      <c r="S59" s="58">
        <f t="shared" si="22"/>
        <v>0</v>
      </c>
      <c r="T59" s="106" t="s">
        <v>259</v>
      </c>
      <c r="V59" s="9"/>
    </row>
    <row r="60" spans="1:22">
      <c r="B60" s="34" t="str">
        <f>'6) Year 1 Budget'!B23</f>
        <v>Other:  BEP</v>
      </c>
      <c r="C60" s="80"/>
      <c r="E60" s="82">
        <f>'6) Year 1 Budget'!E23</f>
        <v>142800</v>
      </c>
      <c r="F60" s="65">
        <f t="shared" si="23"/>
        <v>11900</v>
      </c>
      <c r="G60" s="65">
        <f t="shared" si="24"/>
        <v>11900</v>
      </c>
      <c r="H60" s="65">
        <f t="shared" si="24"/>
        <v>11900</v>
      </c>
      <c r="I60" s="65">
        <f t="shared" si="24"/>
        <v>11900</v>
      </c>
      <c r="J60" s="65">
        <f t="shared" si="24"/>
        <v>11900</v>
      </c>
      <c r="K60" s="65">
        <f t="shared" si="24"/>
        <v>11900</v>
      </c>
      <c r="L60" s="65">
        <f t="shared" si="24"/>
        <v>11900</v>
      </c>
      <c r="M60" s="65">
        <f t="shared" si="24"/>
        <v>11900</v>
      </c>
      <c r="N60" s="65">
        <f t="shared" si="24"/>
        <v>11900</v>
      </c>
      <c r="O60" s="65">
        <f t="shared" si="24"/>
        <v>11900</v>
      </c>
      <c r="P60" s="65">
        <f t="shared" si="24"/>
        <v>11900</v>
      </c>
      <c r="Q60" s="65">
        <f t="shared" si="24"/>
        <v>11900</v>
      </c>
      <c r="R60" s="58">
        <f t="shared" si="21"/>
        <v>142800</v>
      </c>
      <c r="S60" s="58">
        <f t="shared" si="22"/>
        <v>0</v>
      </c>
      <c r="T60" s="106" t="s">
        <v>259</v>
      </c>
      <c r="V60" s="9"/>
    </row>
    <row r="61" spans="1:22">
      <c r="B61" s="34"/>
      <c r="C61" s="81"/>
      <c r="E61" s="77"/>
      <c r="F61" s="52"/>
      <c r="G61" s="52"/>
      <c r="H61" s="52"/>
      <c r="I61" s="52"/>
      <c r="J61" s="52"/>
      <c r="K61" s="52"/>
      <c r="L61" s="52"/>
      <c r="M61" s="52"/>
      <c r="N61" s="52"/>
      <c r="O61" s="52"/>
      <c r="P61" s="52"/>
      <c r="Q61" s="52"/>
      <c r="R61" s="52"/>
      <c r="S61" s="52"/>
      <c r="T61" s="52"/>
      <c r="V61" s="9"/>
    </row>
    <row r="62" spans="1:22">
      <c r="B62" s="32" t="s">
        <v>88</v>
      </c>
      <c r="C62" s="80"/>
      <c r="E62" s="77"/>
      <c r="F62" s="52"/>
      <c r="G62" s="52"/>
      <c r="H62" s="52"/>
      <c r="I62" s="52"/>
      <c r="J62" s="52"/>
      <c r="K62" s="52"/>
      <c r="L62" s="52"/>
      <c r="M62" s="52"/>
      <c r="N62" s="52"/>
      <c r="O62" s="52"/>
      <c r="P62" s="52"/>
      <c r="Q62" s="52"/>
      <c r="R62" s="52"/>
      <c r="S62" s="52"/>
      <c r="T62" s="52"/>
      <c r="V62" s="9"/>
    </row>
    <row r="63" spans="1:22">
      <c r="B63" s="34" t="str">
        <f>'6) Year 1 Budget'!B26</f>
        <v>Title I</v>
      </c>
      <c r="C63" s="80"/>
      <c r="E63" s="82">
        <f>'6) Year 1 Budget'!E26</f>
        <v>24524.85</v>
      </c>
      <c r="F63" s="65">
        <f>$E63/12</f>
        <v>2043.7375</v>
      </c>
      <c r="G63" s="65">
        <f t="shared" ref="G63:Q70" si="25">$E63/12</f>
        <v>2043.7375</v>
      </c>
      <c r="H63" s="65">
        <f t="shared" si="25"/>
        <v>2043.7375</v>
      </c>
      <c r="I63" s="65">
        <f t="shared" si="25"/>
        <v>2043.7375</v>
      </c>
      <c r="J63" s="65">
        <f t="shared" si="25"/>
        <v>2043.7375</v>
      </c>
      <c r="K63" s="65">
        <f t="shared" si="25"/>
        <v>2043.7375</v>
      </c>
      <c r="L63" s="65">
        <f t="shared" si="25"/>
        <v>2043.7375</v>
      </c>
      <c r="M63" s="65">
        <f t="shared" si="25"/>
        <v>2043.7375</v>
      </c>
      <c r="N63" s="65">
        <f t="shared" si="25"/>
        <v>2043.7375</v>
      </c>
      <c r="O63" s="65">
        <f t="shared" si="25"/>
        <v>2043.7375</v>
      </c>
      <c r="P63" s="65">
        <f t="shared" si="25"/>
        <v>2043.7375</v>
      </c>
      <c r="Q63" s="65">
        <f t="shared" si="25"/>
        <v>2043.7375</v>
      </c>
      <c r="R63" s="58">
        <f>SUM(F63:Q63)</f>
        <v>24524.849999999995</v>
      </c>
      <c r="S63" s="58">
        <f>E63-R63</f>
        <v>0</v>
      </c>
      <c r="T63" s="106"/>
      <c r="V63" s="9"/>
    </row>
    <row r="64" spans="1:22">
      <c r="B64" s="34" t="str">
        <f>'6) Year 1 Budget'!B27</f>
        <v>Title II</v>
      </c>
      <c r="C64" s="80"/>
      <c r="E64" s="82">
        <f>'6) Year 1 Budget'!E27</f>
        <v>2673</v>
      </c>
      <c r="F64" s="65">
        <f t="shared" ref="F64:F70" si="26">$E64/12</f>
        <v>222.75</v>
      </c>
      <c r="G64" s="65">
        <f t="shared" si="25"/>
        <v>222.75</v>
      </c>
      <c r="H64" s="65">
        <f t="shared" si="25"/>
        <v>222.75</v>
      </c>
      <c r="I64" s="65">
        <f t="shared" si="25"/>
        <v>222.75</v>
      </c>
      <c r="J64" s="65">
        <f t="shared" si="25"/>
        <v>222.75</v>
      </c>
      <c r="K64" s="65">
        <f t="shared" si="25"/>
        <v>222.75</v>
      </c>
      <c r="L64" s="65">
        <f t="shared" si="25"/>
        <v>222.75</v>
      </c>
      <c r="M64" s="65">
        <f t="shared" si="25"/>
        <v>222.75</v>
      </c>
      <c r="N64" s="65">
        <f t="shared" si="25"/>
        <v>222.75</v>
      </c>
      <c r="O64" s="65">
        <f t="shared" si="25"/>
        <v>222.75</v>
      </c>
      <c r="P64" s="65">
        <f t="shared" si="25"/>
        <v>222.75</v>
      </c>
      <c r="Q64" s="65">
        <f t="shared" si="25"/>
        <v>222.75</v>
      </c>
      <c r="R64" s="58">
        <f t="shared" ref="R64:R65" si="27">SUM(F64:Q64)</f>
        <v>2673</v>
      </c>
      <c r="S64" s="58">
        <f t="shared" ref="S64:S65" si="28">E64-R64</f>
        <v>0</v>
      </c>
      <c r="T64" s="106"/>
      <c r="V64" s="9"/>
    </row>
    <row r="65" spans="2:22">
      <c r="B65" s="34" t="str">
        <f>'6) Year 1 Budget'!B28</f>
        <v>Title III</v>
      </c>
      <c r="C65" s="80"/>
      <c r="E65" s="82">
        <f>'6) Year 1 Budget'!E28</f>
        <v>0</v>
      </c>
      <c r="F65" s="65">
        <f t="shared" si="26"/>
        <v>0</v>
      </c>
      <c r="G65" s="65">
        <f t="shared" si="25"/>
        <v>0</v>
      </c>
      <c r="H65" s="65">
        <f t="shared" si="25"/>
        <v>0</v>
      </c>
      <c r="I65" s="65">
        <f t="shared" si="25"/>
        <v>0</v>
      </c>
      <c r="J65" s="65">
        <f t="shared" si="25"/>
        <v>0</v>
      </c>
      <c r="K65" s="65">
        <f t="shared" si="25"/>
        <v>0</v>
      </c>
      <c r="L65" s="65">
        <f t="shared" si="25"/>
        <v>0</v>
      </c>
      <c r="M65" s="65">
        <f t="shared" si="25"/>
        <v>0</v>
      </c>
      <c r="N65" s="65">
        <f t="shared" si="25"/>
        <v>0</v>
      </c>
      <c r="O65" s="65">
        <f t="shared" si="25"/>
        <v>0</v>
      </c>
      <c r="P65" s="65">
        <f t="shared" si="25"/>
        <v>0</v>
      </c>
      <c r="Q65" s="65">
        <f t="shared" si="25"/>
        <v>0</v>
      </c>
      <c r="R65" s="58">
        <f t="shared" si="27"/>
        <v>0</v>
      </c>
      <c r="S65" s="58">
        <f t="shared" si="28"/>
        <v>0</v>
      </c>
      <c r="T65" s="106"/>
      <c r="V65" s="9"/>
    </row>
    <row r="66" spans="2:22">
      <c r="B66" s="34" t="str">
        <f>'6) Year 1 Budget'!B29</f>
        <v>NSLP</v>
      </c>
      <c r="C66" s="80"/>
      <c r="E66" s="82">
        <f>'6) Year 1 Budget'!E29</f>
        <v>0</v>
      </c>
      <c r="F66" s="65">
        <f t="shared" si="26"/>
        <v>0</v>
      </c>
      <c r="G66" s="65">
        <f t="shared" si="25"/>
        <v>0</v>
      </c>
      <c r="H66" s="65">
        <f t="shared" si="25"/>
        <v>0</v>
      </c>
      <c r="I66" s="65">
        <f t="shared" si="25"/>
        <v>0</v>
      </c>
      <c r="J66" s="65">
        <f t="shared" si="25"/>
        <v>0</v>
      </c>
      <c r="K66" s="65">
        <f t="shared" si="25"/>
        <v>0</v>
      </c>
      <c r="L66" s="65">
        <f t="shared" si="25"/>
        <v>0</v>
      </c>
      <c r="M66" s="65">
        <f t="shared" si="25"/>
        <v>0</v>
      </c>
      <c r="N66" s="65">
        <f t="shared" si="25"/>
        <v>0</v>
      </c>
      <c r="O66" s="65">
        <f t="shared" si="25"/>
        <v>0</v>
      </c>
      <c r="P66" s="65">
        <f t="shared" si="25"/>
        <v>0</v>
      </c>
      <c r="Q66" s="65">
        <f t="shared" si="25"/>
        <v>0</v>
      </c>
      <c r="R66" s="58">
        <f>SUM(F66:Q66)</f>
        <v>0</v>
      </c>
      <c r="S66" s="58">
        <f>E66-R66</f>
        <v>0</v>
      </c>
      <c r="T66" s="106"/>
      <c r="V66" s="9"/>
    </row>
    <row r="67" spans="2:22">
      <c r="B67" s="34" t="str">
        <f>'6) Year 1 Budget'!B30</f>
        <v>E-Rate</v>
      </c>
      <c r="C67" s="80"/>
      <c r="E67" s="82">
        <f>'6) Year 1 Budget'!E30</f>
        <v>0</v>
      </c>
      <c r="F67" s="65">
        <f t="shared" si="26"/>
        <v>0</v>
      </c>
      <c r="G67" s="65">
        <f t="shared" si="25"/>
        <v>0</v>
      </c>
      <c r="H67" s="65">
        <f t="shared" si="25"/>
        <v>0</v>
      </c>
      <c r="I67" s="65">
        <f t="shared" si="25"/>
        <v>0</v>
      </c>
      <c r="J67" s="65">
        <f t="shared" si="25"/>
        <v>0</v>
      </c>
      <c r="K67" s="65">
        <f t="shared" si="25"/>
        <v>0</v>
      </c>
      <c r="L67" s="65">
        <f t="shared" si="25"/>
        <v>0</v>
      </c>
      <c r="M67" s="65">
        <f t="shared" si="25"/>
        <v>0</v>
      </c>
      <c r="N67" s="65">
        <f t="shared" si="25"/>
        <v>0</v>
      </c>
      <c r="O67" s="65">
        <f t="shared" si="25"/>
        <v>0</v>
      </c>
      <c r="P67" s="65">
        <f t="shared" si="25"/>
        <v>0</v>
      </c>
      <c r="Q67" s="65">
        <f t="shared" si="25"/>
        <v>0</v>
      </c>
      <c r="R67" s="58">
        <f t="shared" ref="R67:R70" si="29">SUM(F67:Q67)</f>
        <v>0</v>
      </c>
      <c r="S67" s="58">
        <f t="shared" ref="S67:S70" si="30">E67-R67</f>
        <v>0</v>
      </c>
      <c r="T67" s="106"/>
      <c r="V67" s="9"/>
    </row>
    <row r="68" spans="2:22">
      <c r="B68" s="34" t="str">
        <f>'6) Year 1 Budget'!B31</f>
        <v>CSP Startup Grant</v>
      </c>
      <c r="C68" s="80"/>
      <c r="E68" s="82">
        <f>'6) Year 1 Budget'!E31</f>
        <v>200000</v>
      </c>
      <c r="F68" s="65">
        <f t="shared" si="26"/>
        <v>16666.666666666668</v>
      </c>
      <c r="G68" s="65">
        <f t="shared" si="25"/>
        <v>16666.666666666668</v>
      </c>
      <c r="H68" s="65">
        <f t="shared" si="25"/>
        <v>16666.666666666668</v>
      </c>
      <c r="I68" s="65">
        <f t="shared" si="25"/>
        <v>16666.666666666668</v>
      </c>
      <c r="J68" s="65">
        <f t="shared" si="25"/>
        <v>16666.666666666668</v>
      </c>
      <c r="K68" s="65">
        <f t="shared" si="25"/>
        <v>16666.666666666668</v>
      </c>
      <c r="L68" s="65">
        <f t="shared" si="25"/>
        <v>16666.666666666668</v>
      </c>
      <c r="M68" s="65">
        <f t="shared" si="25"/>
        <v>16666.666666666668</v>
      </c>
      <c r="N68" s="65">
        <f t="shared" si="25"/>
        <v>16666.666666666668</v>
      </c>
      <c r="O68" s="65">
        <f t="shared" si="25"/>
        <v>16666.666666666668</v>
      </c>
      <c r="P68" s="65">
        <f t="shared" si="25"/>
        <v>16666.666666666668</v>
      </c>
      <c r="Q68" s="65">
        <f t="shared" si="25"/>
        <v>16666.666666666668</v>
      </c>
      <c r="R68" s="58">
        <f t="shared" si="29"/>
        <v>199999.99999999997</v>
      </c>
      <c r="S68" s="58">
        <f t="shared" si="30"/>
        <v>0</v>
      </c>
      <c r="T68" s="106"/>
      <c r="V68" s="9"/>
    </row>
    <row r="69" spans="2:22">
      <c r="B69" s="34" t="str">
        <f>'6) Year 1 Budget'!B32</f>
        <v>Other:  IDEA</v>
      </c>
      <c r="C69" s="80"/>
      <c r="E69" s="82">
        <f>'6) Year 1 Budget'!E32</f>
        <v>24759</v>
      </c>
      <c r="F69" s="65">
        <f t="shared" si="26"/>
        <v>2063.25</v>
      </c>
      <c r="G69" s="65">
        <f t="shared" si="25"/>
        <v>2063.25</v>
      </c>
      <c r="H69" s="65">
        <f t="shared" si="25"/>
        <v>2063.25</v>
      </c>
      <c r="I69" s="65">
        <f t="shared" si="25"/>
        <v>2063.25</v>
      </c>
      <c r="J69" s="65">
        <f t="shared" si="25"/>
        <v>2063.25</v>
      </c>
      <c r="K69" s="65">
        <f t="shared" si="25"/>
        <v>2063.25</v>
      </c>
      <c r="L69" s="65">
        <f t="shared" si="25"/>
        <v>2063.25</v>
      </c>
      <c r="M69" s="65">
        <f t="shared" si="25"/>
        <v>2063.25</v>
      </c>
      <c r="N69" s="65">
        <f t="shared" si="25"/>
        <v>2063.25</v>
      </c>
      <c r="O69" s="65">
        <f t="shared" si="25"/>
        <v>2063.25</v>
      </c>
      <c r="P69" s="65">
        <f t="shared" si="25"/>
        <v>2063.25</v>
      </c>
      <c r="Q69" s="65">
        <f t="shared" si="25"/>
        <v>2063.25</v>
      </c>
      <c r="R69" s="58">
        <f t="shared" si="29"/>
        <v>24759</v>
      </c>
      <c r="S69" s="58">
        <f t="shared" si="30"/>
        <v>0</v>
      </c>
      <c r="T69" s="106"/>
      <c r="V69" s="9"/>
    </row>
    <row r="70" spans="2:22">
      <c r="B70" s="34" t="str">
        <f>'6) Year 1 Budget'!B33</f>
        <v>Other: USDA School Breakfast &amp; Lunch</v>
      </c>
      <c r="C70" s="80"/>
      <c r="E70" s="82">
        <f>'6) Year 1 Budget'!E33</f>
        <v>90000</v>
      </c>
      <c r="F70" s="65">
        <f t="shared" si="26"/>
        <v>7500</v>
      </c>
      <c r="G70" s="65">
        <f t="shared" si="25"/>
        <v>7500</v>
      </c>
      <c r="H70" s="65">
        <f t="shared" si="25"/>
        <v>7500</v>
      </c>
      <c r="I70" s="65">
        <f t="shared" si="25"/>
        <v>7500</v>
      </c>
      <c r="J70" s="65">
        <f t="shared" si="25"/>
        <v>7500</v>
      </c>
      <c r="K70" s="65">
        <f t="shared" si="25"/>
        <v>7500</v>
      </c>
      <c r="L70" s="65">
        <f t="shared" si="25"/>
        <v>7500</v>
      </c>
      <c r="M70" s="65">
        <f t="shared" si="25"/>
        <v>7500</v>
      </c>
      <c r="N70" s="65">
        <f t="shared" si="25"/>
        <v>7500</v>
      </c>
      <c r="O70" s="65">
        <f t="shared" si="25"/>
        <v>7500</v>
      </c>
      <c r="P70" s="65">
        <f t="shared" si="25"/>
        <v>7500</v>
      </c>
      <c r="Q70" s="65">
        <f t="shared" si="25"/>
        <v>7500</v>
      </c>
      <c r="R70" s="58">
        <f t="shared" si="29"/>
        <v>90000</v>
      </c>
      <c r="S70" s="58">
        <f t="shared" si="30"/>
        <v>0</v>
      </c>
      <c r="T70" s="106"/>
      <c r="V70" s="9"/>
    </row>
    <row r="71" spans="2:22">
      <c r="B71" s="34"/>
      <c r="C71" s="81"/>
      <c r="E71" s="77"/>
      <c r="F71" s="52"/>
      <c r="G71" s="52"/>
      <c r="H71" s="52"/>
      <c r="I71" s="52"/>
      <c r="J71" s="52"/>
      <c r="K71" s="52"/>
      <c r="L71" s="52"/>
      <c r="M71" s="52"/>
      <c r="N71" s="52"/>
      <c r="O71" s="52"/>
      <c r="P71" s="52"/>
      <c r="Q71" s="52"/>
      <c r="R71" s="52"/>
      <c r="S71" s="52"/>
      <c r="T71" s="52"/>
      <c r="V71" s="9"/>
    </row>
    <row r="72" spans="2:22">
      <c r="B72" s="32" t="str">
        <f>'6) Year 1 Budget'!B35</f>
        <v>School Activity Revenues</v>
      </c>
      <c r="C72" s="81"/>
      <c r="E72" s="77"/>
      <c r="F72" s="52"/>
      <c r="G72" s="52"/>
      <c r="H72" s="52"/>
      <c r="I72" s="52"/>
      <c r="J72" s="52"/>
      <c r="K72" s="52"/>
      <c r="L72" s="52"/>
      <c r="M72" s="52"/>
      <c r="N72" s="52"/>
      <c r="O72" s="52"/>
      <c r="P72" s="52"/>
      <c r="Q72" s="52"/>
      <c r="R72" s="52"/>
      <c r="S72" s="52"/>
      <c r="T72" s="52"/>
      <c r="V72" s="9"/>
    </row>
    <row r="73" spans="2:22">
      <c r="B73" s="34" t="str">
        <f>'6) Year 1 Budget'!B36</f>
        <v>Other</v>
      </c>
      <c r="C73" s="80"/>
      <c r="E73" s="82">
        <f>'6) Year 1 Budget'!E36</f>
        <v>0</v>
      </c>
      <c r="F73" s="65">
        <f>$E73/12</f>
        <v>0</v>
      </c>
      <c r="G73" s="65">
        <f t="shared" ref="G73:Q77" si="31">$E73/12</f>
        <v>0</v>
      </c>
      <c r="H73" s="65">
        <f t="shared" si="31"/>
        <v>0</v>
      </c>
      <c r="I73" s="65">
        <f t="shared" si="31"/>
        <v>0</v>
      </c>
      <c r="J73" s="65">
        <f t="shared" si="31"/>
        <v>0</v>
      </c>
      <c r="K73" s="65">
        <f t="shared" si="31"/>
        <v>0</v>
      </c>
      <c r="L73" s="65">
        <f t="shared" si="31"/>
        <v>0</v>
      </c>
      <c r="M73" s="65">
        <f t="shared" si="31"/>
        <v>0</v>
      </c>
      <c r="N73" s="65">
        <f t="shared" si="31"/>
        <v>0</v>
      </c>
      <c r="O73" s="65">
        <f t="shared" si="31"/>
        <v>0</v>
      </c>
      <c r="P73" s="65">
        <f t="shared" si="31"/>
        <v>0</v>
      </c>
      <c r="Q73" s="65">
        <f t="shared" si="31"/>
        <v>0</v>
      </c>
      <c r="R73" s="58">
        <f>SUM(F73:Q73)</f>
        <v>0</v>
      </c>
      <c r="S73" s="58">
        <f>E73-R73</f>
        <v>0</v>
      </c>
      <c r="T73" s="106"/>
      <c r="V73" s="9"/>
    </row>
    <row r="74" spans="2:22">
      <c r="B74" s="34" t="str">
        <f>'6) Year 1 Budget'!B37</f>
        <v>Other</v>
      </c>
      <c r="C74" s="80"/>
      <c r="E74" s="82">
        <f>'6) Year 1 Budget'!E37</f>
        <v>0</v>
      </c>
      <c r="F74" s="65">
        <f t="shared" ref="F74:F77" si="32">$E74/12</f>
        <v>0</v>
      </c>
      <c r="G74" s="65">
        <f t="shared" si="31"/>
        <v>0</v>
      </c>
      <c r="H74" s="65">
        <f t="shared" si="31"/>
        <v>0</v>
      </c>
      <c r="I74" s="65">
        <f t="shared" si="31"/>
        <v>0</v>
      </c>
      <c r="J74" s="65">
        <f t="shared" si="31"/>
        <v>0</v>
      </c>
      <c r="K74" s="65">
        <f t="shared" si="31"/>
        <v>0</v>
      </c>
      <c r="L74" s="65">
        <f t="shared" si="31"/>
        <v>0</v>
      </c>
      <c r="M74" s="65">
        <f t="shared" si="31"/>
        <v>0</v>
      </c>
      <c r="N74" s="65">
        <f t="shared" si="31"/>
        <v>0</v>
      </c>
      <c r="O74" s="65">
        <f t="shared" si="31"/>
        <v>0</v>
      </c>
      <c r="P74" s="65">
        <f t="shared" si="31"/>
        <v>0</v>
      </c>
      <c r="Q74" s="65">
        <f t="shared" si="31"/>
        <v>0</v>
      </c>
      <c r="R74" s="58">
        <f t="shared" ref="R74:R77" si="33">SUM(F74:Q74)</f>
        <v>0</v>
      </c>
      <c r="S74" s="58">
        <f t="shared" ref="S74:S77" si="34">E74-R74</f>
        <v>0</v>
      </c>
      <c r="T74" s="106"/>
      <c r="V74" s="9"/>
    </row>
    <row r="75" spans="2:22">
      <c r="B75" s="34" t="str">
        <f>'6) Year 1 Budget'!B38</f>
        <v>Other</v>
      </c>
      <c r="C75" s="80"/>
      <c r="E75" s="82">
        <f>'6) Year 1 Budget'!E38</f>
        <v>0</v>
      </c>
      <c r="F75" s="65">
        <f t="shared" si="32"/>
        <v>0</v>
      </c>
      <c r="G75" s="65">
        <f t="shared" si="31"/>
        <v>0</v>
      </c>
      <c r="H75" s="65">
        <f t="shared" si="31"/>
        <v>0</v>
      </c>
      <c r="I75" s="65">
        <f t="shared" si="31"/>
        <v>0</v>
      </c>
      <c r="J75" s="65">
        <f t="shared" si="31"/>
        <v>0</v>
      </c>
      <c r="K75" s="65">
        <f t="shared" si="31"/>
        <v>0</v>
      </c>
      <c r="L75" s="65">
        <f t="shared" si="31"/>
        <v>0</v>
      </c>
      <c r="M75" s="65">
        <f t="shared" si="31"/>
        <v>0</v>
      </c>
      <c r="N75" s="65">
        <f t="shared" si="31"/>
        <v>0</v>
      </c>
      <c r="O75" s="65">
        <f t="shared" si="31"/>
        <v>0</v>
      </c>
      <c r="P75" s="65">
        <f t="shared" si="31"/>
        <v>0</v>
      </c>
      <c r="Q75" s="65">
        <f t="shared" si="31"/>
        <v>0</v>
      </c>
      <c r="R75" s="58">
        <f t="shared" si="33"/>
        <v>0</v>
      </c>
      <c r="S75" s="58">
        <f t="shared" si="34"/>
        <v>0</v>
      </c>
      <c r="T75" s="106"/>
      <c r="V75" s="9"/>
    </row>
    <row r="76" spans="2:22">
      <c r="B76" s="34" t="str">
        <f>'6) Year 1 Budget'!B39</f>
        <v>Other</v>
      </c>
      <c r="C76" s="80"/>
      <c r="E76" s="82">
        <f>'6) Year 1 Budget'!E39</f>
        <v>0</v>
      </c>
      <c r="F76" s="65">
        <f t="shared" si="32"/>
        <v>0</v>
      </c>
      <c r="G76" s="65">
        <f t="shared" si="31"/>
        <v>0</v>
      </c>
      <c r="H76" s="65">
        <f t="shared" si="31"/>
        <v>0</v>
      </c>
      <c r="I76" s="65">
        <f t="shared" si="31"/>
        <v>0</v>
      </c>
      <c r="J76" s="65">
        <f t="shared" si="31"/>
        <v>0</v>
      </c>
      <c r="K76" s="65">
        <f t="shared" si="31"/>
        <v>0</v>
      </c>
      <c r="L76" s="65">
        <f t="shared" si="31"/>
        <v>0</v>
      </c>
      <c r="M76" s="65">
        <f t="shared" si="31"/>
        <v>0</v>
      </c>
      <c r="N76" s="65">
        <f t="shared" si="31"/>
        <v>0</v>
      </c>
      <c r="O76" s="65">
        <f t="shared" si="31"/>
        <v>0</v>
      </c>
      <c r="P76" s="65">
        <f t="shared" si="31"/>
        <v>0</v>
      </c>
      <c r="Q76" s="65">
        <f t="shared" si="31"/>
        <v>0</v>
      </c>
      <c r="R76" s="58">
        <f t="shared" si="33"/>
        <v>0</v>
      </c>
      <c r="S76" s="58">
        <f t="shared" si="34"/>
        <v>0</v>
      </c>
      <c r="T76" s="106"/>
      <c r="V76" s="9"/>
    </row>
    <row r="77" spans="2:22">
      <c r="B77" s="34" t="str">
        <f>'6) Year 1 Budget'!B40</f>
        <v>Other</v>
      </c>
      <c r="C77" s="80"/>
      <c r="E77" s="82">
        <f>'6) Year 1 Budget'!E40</f>
        <v>0</v>
      </c>
      <c r="F77" s="65">
        <f t="shared" si="32"/>
        <v>0</v>
      </c>
      <c r="G77" s="65">
        <f t="shared" si="31"/>
        <v>0</v>
      </c>
      <c r="H77" s="65">
        <f t="shared" si="31"/>
        <v>0</v>
      </c>
      <c r="I77" s="65">
        <f t="shared" si="31"/>
        <v>0</v>
      </c>
      <c r="J77" s="65">
        <f t="shared" si="31"/>
        <v>0</v>
      </c>
      <c r="K77" s="65">
        <f t="shared" si="31"/>
        <v>0</v>
      </c>
      <c r="L77" s="65">
        <f t="shared" si="31"/>
        <v>0</v>
      </c>
      <c r="M77" s="65">
        <f t="shared" si="31"/>
        <v>0</v>
      </c>
      <c r="N77" s="65">
        <f t="shared" si="31"/>
        <v>0</v>
      </c>
      <c r="O77" s="65">
        <f t="shared" si="31"/>
        <v>0</v>
      </c>
      <c r="P77" s="65">
        <f t="shared" si="31"/>
        <v>0</v>
      </c>
      <c r="Q77" s="65">
        <f t="shared" si="31"/>
        <v>0</v>
      </c>
      <c r="R77" s="58">
        <f t="shared" si="33"/>
        <v>0</v>
      </c>
      <c r="S77" s="58">
        <f t="shared" si="34"/>
        <v>0</v>
      </c>
      <c r="T77" s="106"/>
      <c r="V77" s="9"/>
    </row>
    <row r="78" spans="2:22">
      <c r="B78" s="34"/>
      <c r="C78" s="81"/>
      <c r="E78" s="77"/>
      <c r="F78" s="52"/>
      <c r="G78" s="52"/>
      <c r="H78" s="52"/>
      <c r="I78" s="52"/>
      <c r="J78" s="52"/>
      <c r="K78" s="52"/>
      <c r="L78" s="52"/>
      <c r="M78" s="52"/>
      <c r="N78" s="52"/>
      <c r="O78" s="52"/>
      <c r="P78" s="52"/>
      <c r="Q78" s="52"/>
      <c r="R78" s="52"/>
      <c r="S78" s="52"/>
      <c r="T78" s="52"/>
      <c r="V78" s="9"/>
    </row>
    <row r="79" spans="2:22">
      <c r="B79" s="32" t="str">
        <f>'6) Year 1 Budget'!B42</f>
        <v>Fundraising &amp; Philanthropy</v>
      </c>
      <c r="C79" s="81"/>
      <c r="E79" s="77"/>
      <c r="F79" s="52"/>
      <c r="G79" s="52"/>
      <c r="H79" s="52"/>
      <c r="I79" s="52"/>
      <c r="J79" s="52"/>
      <c r="K79" s="52"/>
      <c r="L79" s="52"/>
      <c r="M79" s="52"/>
      <c r="N79" s="52"/>
      <c r="O79" s="52"/>
      <c r="P79" s="52"/>
      <c r="Q79" s="52"/>
      <c r="R79" s="52"/>
      <c r="S79" s="52"/>
      <c r="T79" s="52"/>
      <c r="V79" s="9"/>
    </row>
    <row r="80" spans="2:22">
      <c r="B80" s="34" t="str">
        <f>'6) Year 1 Budget'!B43</f>
        <v>Other</v>
      </c>
      <c r="C80" s="80"/>
      <c r="E80" s="82">
        <f>'6) Year 1 Budget'!E43</f>
        <v>0</v>
      </c>
      <c r="F80" s="65">
        <f>$E80/12</f>
        <v>0</v>
      </c>
      <c r="G80" s="65">
        <f t="shared" ref="G80:Q84" si="35">$E80/12</f>
        <v>0</v>
      </c>
      <c r="H80" s="65">
        <f t="shared" si="35"/>
        <v>0</v>
      </c>
      <c r="I80" s="65">
        <f t="shared" si="35"/>
        <v>0</v>
      </c>
      <c r="J80" s="65">
        <f t="shared" si="35"/>
        <v>0</v>
      </c>
      <c r="K80" s="65">
        <f t="shared" si="35"/>
        <v>0</v>
      </c>
      <c r="L80" s="65">
        <f t="shared" si="35"/>
        <v>0</v>
      </c>
      <c r="M80" s="65">
        <f t="shared" si="35"/>
        <v>0</v>
      </c>
      <c r="N80" s="65">
        <f t="shared" si="35"/>
        <v>0</v>
      </c>
      <c r="O80" s="65">
        <f t="shared" si="35"/>
        <v>0</v>
      </c>
      <c r="P80" s="65">
        <f t="shared" si="35"/>
        <v>0</v>
      </c>
      <c r="Q80" s="65">
        <f t="shared" si="35"/>
        <v>0</v>
      </c>
      <c r="R80" s="58">
        <f>SUM(F80:Q80)</f>
        <v>0</v>
      </c>
      <c r="S80" s="58">
        <f>E80-R80</f>
        <v>0</v>
      </c>
      <c r="T80" s="106"/>
      <c r="V80" s="9"/>
    </row>
    <row r="81" spans="1:22">
      <c r="B81" s="34" t="str">
        <f>'6) Year 1 Budget'!B44</f>
        <v>Other</v>
      </c>
      <c r="C81" s="80"/>
      <c r="E81" s="82">
        <f>'6) Year 1 Budget'!E44</f>
        <v>620000</v>
      </c>
      <c r="F81" s="65">
        <f t="shared" ref="F81:F84" si="36">$E81/12</f>
        <v>51666.666666666664</v>
      </c>
      <c r="G81" s="65">
        <f t="shared" si="35"/>
        <v>51666.666666666664</v>
      </c>
      <c r="H81" s="65">
        <f t="shared" si="35"/>
        <v>51666.666666666664</v>
      </c>
      <c r="I81" s="65">
        <f t="shared" si="35"/>
        <v>51666.666666666664</v>
      </c>
      <c r="J81" s="65">
        <f t="shared" si="35"/>
        <v>51666.666666666664</v>
      </c>
      <c r="K81" s="65">
        <f t="shared" si="35"/>
        <v>51666.666666666664</v>
      </c>
      <c r="L81" s="65">
        <f t="shared" si="35"/>
        <v>51666.666666666664</v>
      </c>
      <c r="M81" s="65">
        <f t="shared" si="35"/>
        <v>51666.666666666664</v>
      </c>
      <c r="N81" s="65">
        <f t="shared" si="35"/>
        <v>51666.666666666664</v>
      </c>
      <c r="O81" s="65">
        <f t="shared" si="35"/>
        <v>51666.666666666664</v>
      </c>
      <c r="P81" s="65">
        <f t="shared" si="35"/>
        <v>51666.666666666664</v>
      </c>
      <c r="Q81" s="65">
        <f t="shared" si="35"/>
        <v>51666.666666666664</v>
      </c>
      <c r="R81" s="58">
        <f t="shared" ref="R81:R84" si="37">SUM(F81:Q81)</f>
        <v>620000</v>
      </c>
      <c r="S81" s="58">
        <f t="shared" ref="S81:S84" si="38">E81-R81</f>
        <v>0</v>
      </c>
      <c r="T81" s="106"/>
      <c r="V81" s="9"/>
    </row>
    <row r="82" spans="1:22">
      <c r="B82" s="34" t="str">
        <f>'6) Year 1 Budget'!B45</f>
        <v>Other</v>
      </c>
      <c r="C82" s="80"/>
      <c r="E82" s="82">
        <f>'6) Year 1 Budget'!E45</f>
        <v>650000</v>
      </c>
      <c r="F82" s="65">
        <f t="shared" si="36"/>
        <v>54166.666666666664</v>
      </c>
      <c r="G82" s="65">
        <f t="shared" si="35"/>
        <v>54166.666666666664</v>
      </c>
      <c r="H82" s="65">
        <f t="shared" si="35"/>
        <v>54166.666666666664</v>
      </c>
      <c r="I82" s="65">
        <f t="shared" si="35"/>
        <v>54166.666666666664</v>
      </c>
      <c r="J82" s="65">
        <f t="shared" si="35"/>
        <v>54166.666666666664</v>
      </c>
      <c r="K82" s="65">
        <f t="shared" si="35"/>
        <v>54166.666666666664</v>
      </c>
      <c r="L82" s="65">
        <f t="shared" si="35"/>
        <v>54166.666666666664</v>
      </c>
      <c r="M82" s="65">
        <f t="shared" si="35"/>
        <v>54166.666666666664</v>
      </c>
      <c r="N82" s="65">
        <f t="shared" si="35"/>
        <v>54166.666666666664</v>
      </c>
      <c r="O82" s="65">
        <f t="shared" si="35"/>
        <v>54166.666666666664</v>
      </c>
      <c r="P82" s="65">
        <f t="shared" si="35"/>
        <v>54166.666666666664</v>
      </c>
      <c r="Q82" s="65">
        <f t="shared" si="35"/>
        <v>54166.666666666664</v>
      </c>
      <c r="R82" s="58">
        <f t="shared" si="37"/>
        <v>650000</v>
      </c>
      <c r="S82" s="58">
        <f t="shared" si="38"/>
        <v>0</v>
      </c>
      <c r="T82" s="106"/>
      <c r="V82" s="9"/>
    </row>
    <row r="83" spans="1:22">
      <c r="B83" s="34" t="str">
        <f>'6) Year 1 Budget'!B46</f>
        <v>Other</v>
      </c>
      <c r="C83" s="80"/>
      <c r="E83" s="82">
        <f>'6) Year 1 Budget'!E46</f>
        <v>0</v>
      </c>
      <c r="F83" s="65">
        <f t="shared" si="36"/>
        <v>0</v>
      </c>
      <c r="G83" s="65">
        <f t="shared" si="35"/>
        <v>0</v>
      </c>
      <c r="H83" s="65">
        <f t="shared" si="35"/>
        <v>0</v>
      </c>
      <c r="I83" s="65">
        <f t="shared" si="35"/>
        <v>0</v>
      </c>
      <c r="J83" s="65">
        <f t="shared" si="35"/>
        <v>0</v>
      </c>
      <c r="K83" s="65">
        <f t="shared" si="35"/>
        <v>0</v>
      </c>
      <c r="L83" s="65">
        <f t="shared" si="35"/>
        <v>0</v>
      </c>
      <c r="M83" s="65">
        <f t="shared" si="35"/>
        <v>0</v>
      </c>
      <c r="N83" s="65">
        <f t="shared" si="35"/>
        <v>0</v>
      </c>
      <c r="O83" s="65">
        <f t="shared" si="35"/>
        <v>0</v>
      </c>
      <c r="P83" s="65">
        <f t="shared" si="35"/>
        <v>0</v>
      </c>
      <c r="Q83" s="65">
        <f t="shared" si="35"/>
        <v>0</v>
      </c>
      <c r="R83" s="58">
        <f t="shared" si="37"/>
        <v>0</v>
      </c>
      <c r="S83" s="58">
        <f t="shared" si="38"/>
        <v>0</v>
      </c>
      <c r="T83" s="106"/>
      <c r="V83" s="9"/>
    </row>
    <row r="84" spans="1:22" ht="14.85" customHeight="1">
      <c r="B84" s="34" t="str">
        <f>'6) Year 1 Budget'!B47</f>
        <v>Other</v>
      </c>
      <c r="C84" s="80"/>
      <c r="E84" s="82">
        <f>'6) Year 1 Budget'!E47</f>
        <v>0</v>
      </c>
      <c r="F84" s="65">
        <f t="shared" si="36"/>
        <v>0</v>
      </c>
      <c r="G84" s="65">
        <f t="shared" si="35"/>
        <v>0</v>
      </c>
      <c r="H84" s="65">
        <f t="shared" si="35"/>
        <v>0</v>
      </c>
      <c r="I84" s="65">
        <f t="shared" si="35"/>
        <v>0</v>
      </c>
      <c r="J84" s="65">
        <f t="shared" si="35"/>
        <v>0</v>
      </c>
      <c r="K84" s="65">
        <f t="shared" si="35"/>
        <v>0</v>
      </c>
      <c r="L84" s="65">
        <f t="shared" si="35"/>
        <v>0</v>
      </c>
      <c r="M84" s="65">
        <f t="shared" si="35"/>
        <v>0</v>
      </c>
      <c r="N84" s="65">
        <f t="shared" si="35"/>
        <v>0</v>
      </c>
      <c r="O84" s="65">
        <f t="shared" si="35"/>
        <v>0</v>
      </c>
      <c r="P84" s="65">
        <f t="shared" si="35"/>
        <v>0</v>
      </c>
      <c r="Q84" s="65">
        <f t="shared" si="35"/>
        <v>0</v>
      </c>
      <c r="R84" s="58">
        <f t="shared" si="37"/>
        <v>0</v>
      </c>
      <c r="S84" s="58">
        <f t="shared" si="38"/>
        <v>0</v>
      </c>
      <c r="T84" s="106"/>
      <c r="V84" s="9"/>
    </row>
    <row r="85" spans="1:22">
      <c r="A85" s="45"/>
      <c r="B85" s="34"/>
      <c r="C85" s="45"/>
      <c r="D85" s="45"/>
      <c r="E85" s="30"/>
      <c r="F85" s="30"/>
      <c r="G85" s="30"/>
      <c r="H85" s="30"/>
      <c r="I85" s="30"/>
      <c r="J85" s="30"/>
      <c r="K85" s="30"/>
      <c r="L85" s="30"/>
      <c r="M85" s="30"/>
      <c r="N85" s="30"/>
      <c r="O85" s="30"/>
      <c r="P85" s="30"/>
      <c r="Q85" s="30"/>
      <c r="R85" s="30"/>
      <c r="S85" s="30"/>
      <c r="T85" s="30"/>
      <c r="V85" s="9"/>
    </row>
    <row r="86" spans="1:22" ht="15.75" thickBot="1">
      <c r="B86" s="146" t="s">
        <v>106</v>
      </c>
      <c r="C86" s="21"/>
      <c r="D86" s="21"/>
      <c r="E86" s="155">
        <f t="shared" ref="E86:S86" si="39">SUM(E56:E60,E62:E70,E73:E77,E80:E84)</f>
        <v>2803915.3589121089</v>
      </c>
      <c r="F86" s="155">
        <f t="shared" si="39"/>
        <v>153313.07083333333</v>
      </c>
      <c r="G86" s="155">
        <f t="shared" si="39"/>
        <v>249728.9217245442</v>
      </c>
      <c r="H86" s="155">
        <f t="shared" si="39"/>
        <v>249728.9217245442</v>
      </c>
      <c r="I86" s="155">
        <f t="shared" si="39"/>
        <v>249728.9217245442</v>
      </c>
      <c r="J86" s="155">
        <f t="shared" si="39"/>
        <v>249728.9217245442</v>
      </c>
      <c r="K86" s="155">
        <f t="shared" si="39"/>
        <v>249728.9217245442</v>
      </c>
      <c r="L86" s="155">
        <f t="shared" si="39"/>
        <v>249728.9217245442</v>
      </c>
      <c r="M86" s="155">
        <f t="shared" si="39"/>
        <v>249728.9217245442</v>
      </c>
      <c r="N86" s="155">
        <f t="shared" si="39"/>
        <v>249728.9217245442</v>
      </c>
      <c r="O86" s="155">
        <f t="shared" si="39"/>
        <v>249728.9217245442</v>
      </c>
      <c r="P86" s="155">
        <f t="shared" si="39"/>
        <v>153313.07083333333</v>
      </c>
      <c r="Q86" s="155">
        <f t="shared" si="39"/>
        <v>249728.9217245442</v>
      </c>
      <c r="R86" s="155">
        <f t="shared" si="39"/>
        <v>2803915.3589121089</v>
      </c>
      <c r="S86" s="155">
        <f t="shared" si="39"/>
        <v>0</v>
      </c>
      <c r="T86" s="136"/>
      <c r="U86" s="21"/>
      <c r="V86" s="22"/>
    </row>
    <row r="87" spans="1:22">
      <c r="B87" s="131"/>
      <c r="C87" s="6"/>
      <c r="D87" s="6"/>
      <c r="E87" s="132"/>
      <c r="F87" s="132"/>
      <c r="G87" s="132"/>
      <c r="H87" s="132"/>
      <c r="I87" s="132"/>
      <c r="J87" s="132"/>
      <c r="K87" s="132"/>
      <c r="L87" s="132"/>
      <c r="M87" s="132"/>
      <c r="N87" s="132"/>
      <c r="O87" s="132"/>
      <c r="P87" s="132"/>
      <c r="Q87" s="132"/>
      <c r="R87" s="132"/>
      <c r="S87" s="132"/>
      <c r="T87" s="132"/>
      <c r="U87" s="6"/>
      <c r="V87" s="7"/>
    </row>
    <row r="88" spans="1:22">
      <c r="A88" s="45"/>
      <c r="B88" s="8"/>
      <c r="E88" s="783" t="s">
        <v>214</v>
      </c>
      <c r="F88" s="752"/>
      <c r="G88" s="766"/>
      <c r="H88" s="766"/>
      <c r="I88" s="766"/>
      <c r="J88" s="766"/>
      <c r="K88" s="766"/>
      <c r="L88" s="766"/>
      <c r="M88" s="766"/>
      <c r="N88" s="766"/>
      <c r="O88" s="766"/>
      <c r="P88" s="766"/>
      <c r="Q88" s="766"/>
      <c r="R88" s="766"/>
      <c r="S88" s="766"/>
      <c r="T88" s="19"/>
      <c r="V88" s="9"/>
    </row>
    <row r="89" spans="1:22">
      <c r="A89" s="45"/>
      <c r="B89" s="8"/>
      <c r="E89" s="19"/>
      <c r="F89" s="19"/>
      <c r="G89" s="19"/>
      <c r="H89" s="19"/>
      <c r="I89" s="19"/>
      <c r="J89" s="19"/>
      <c r="K89" s="19"/>
      <c r="L89" s="19"/>
      <c r="M89" s="19"/>
      <c r="N89" s="19"/>
      <c r="O89" s="19"/>
      <c r="P89" s="19"/>
      <c r="Q89" s="19"/>
      <c r="R89" s="19"/>
      <c r="S89" s="19"/>
      <c r="T89" s="19"/>
      <c r="V89" s="9"/>
    </row>
    <row r="90" spans="1:22">
      <c r="A90" s="45"/>
      <c r="B90" s="34"/>
      <c r="C90" s="45"/>
      <c r="D90" s="2"/>
      <c r="E90" s="83" t="str">
        <f>E10</f>
        <v>Year 1</v>
      </c>
      <c r="F90" s="83" t="str">
        <f t="shared" ref="F90:S90" si="40">F10</f>
        <v>Year 1</v>
      </c>
      <c r="G90" s="83" t="str">
        <f t="shared" si="40"/>
        <v>Year 1</v>
      </c>
      <c r="H90" s="83" t="str">
        <f t="shared" si="40"/>
        <v>Year 1</v>
      </c>
      <c r="I90" s="83" t="str">
        <f t="shared" si="40"/>
        <v>Year 1</v>
      </c>
      <c r="J90" s="83" t="str">
        <f t="shared" si="40"/>
        <v>Year 1</v>
      </c>
      <c r="K90" s="83" t="str">
        <f t="shared" si="40"/>
        <v>Year 1</v>
      </c>
      <c r="L90" s="83" t="str">
        <f t="shared" si="40"/>
        <v>Year 1</v>
      </c>
      <c r="M90" s="83" t="str">
        <f t="shared" si="40"/>
        <v>Year 1</v>
      </c>
      <c r="N90" s="83" t="str">
        <f t="shared" si="40"/>
        <v>Year 1</v>
      </c>
      <c r="O90" s="83" t="str">
        <f t="shared" si="40"/>
        <v>Year 1</v>
      </c>
      <c r="P90" s="83" t="str">
        <f t="shared" si="40"/>
        <v>Year 1</v>
      </c>
      <c r="Q90" s="83" t="str">
        <f t="shared" si="40"/>
        <v>Year 1</v>
      </c>
      <c r="R90" s="83" t="str">
        <f t="shared" si="40"/>
        <v>Year 1</v>
      </c>
      <c r="S90" s="83" t="str">
        <f t="shared" si="40"/>
        <v>Year 1</v>
      </c>
      <c r="T90" s="73"/>
      <c r="V90" s="9"/>
    </row>
    <row r="91" spans="1:22">
      <c r="A91" s="45"/>
      <c r="B91" s="34"/>
      <c r="C91" s="45"/>
      <c r="D91" s="45"/>
      <c r="E91" s="84" t="str">
        <f>E11</f>
        <v>2024-25</v>
      </c>
      <c r="F91" s="84" t="str">
        <f t="shared" ref="F91:S91" si="41">F11</f>
        <v>2024-25</v>
      </c>
      <c r="G91" s="84" t="str">
        <f t="shared" si="41"/>
        <v>2024-25</v>
      </c>
      <c r="H91" s="84" t="str">
        <f t="shared" si="41"/>
        <v>2024-25</v>
      </c>
      <c r="I91" s="84" t="str">
        <f t="shared" si="41"/>
        <v>2024-25</v>
      </c>
      <c r="J91" s="84" t="str">
        <f t="shared" si="41"/>
        <v>2024-25</v>
      </c>
      <c r="K91" s="84" t="str">
        <f t="shared" si="41"/>
        <v>2024-25</v>
      </c>
      <c r="L91" s="84" t="str">
        <f t="shared" si="41"/>
        <v>2024-25</v>
      </c>
      <c r="M91" s="84" t="str">
        <f t="shared" si="41"/>
        <v>2024-25</v>
      </c>
      <c r="N91" s="84" t="str">
        <f t="shared" si="41"/>
        <v>2024-25</v>
      </c>
      <c r="O91" s="84" t="str">
        <f t="shared" si="41"/>
        <v>2024-25</v>
      </c>
      <c r="P91" s="84" t="str">
        <f t="shared" si="41"/>
        <v>2024-25</v>
      </c>
      <c r="Q91" s="84" t="str">
        <f t="shared" si="41"/>
        <v>2024-25</v>
      </c>
      <c r="R91" s="84" t="str">
        <f t="shared" si="41"/>
        <v>2024-25</v>
      </c>
      <c r="S91" s="84" t="str">
        <f t="shared" si="41"/>
        <v>2024-25</v>
      </c>
      <c r="T91" s="85"/>
      <c r="V91" s="9"/>
    </row>
    <row r="92" spans="1:22">
      <c r="A92" s="45"/>
      <c r="B92" s="34"/>
      <c r="C92" s="45"/>
      <c r="D92" s="45"/>
      <c r="E92" s="84" t="str">
        <f>E12</f>
        <v>Total Budget</v>
      </c>
      <c r="F92" s="84" t="str">
        <f t="shared" ref="F92:S92" si="42">F12</f>
        <v>July</v>
      </c>
      <c r="G92" s="84" t="str">
        <f t="shared" si="42"/>
        <v>August</v>
      </c>
      <c r="H92" s="84" t="str">
        <f t="shared" si="42"/>
        <v>September</v>
      </c>
      <c r="I92" s="84" t="str">
        <f t="shared" si="42"/>
        <v>October</v>
      </c>
      <c r="J92" s="84" t="str">
        <f t="shared" si="42"/>
        <v>November</v>
      </c>
      <c r="K92" s="84" t="str">
        <f t="shared" si="42"/>
        <v>December</v>
      </c>
      <c r="L92" s="84" t="str">
        <f t="shared" si="42"/>
        <v>January</v>
      </c>
      <c r="M92" s="84" t="str">
        <f t="shared" si="42"/>
        <v>February</v>
      </c>
      <c r="N92" s="84" t="str">
        <f t="shared" si="42"/>
        <v>March</v>
      </c>
      <c r="O92" s="84" t="str">
        <f t="shared" si="42"/>
        <v>April</v>
      </c>
      <c r="P92" s="84" t="str">
        <f t="shared" si="42"/>
        <v>May</v>
      </c>
      <c r="Q92" s="84" t="str">
        <f t="shared" si="42"/>
        <v>June</v>
      </c>
      <c r="R92" s="84" t="str">
        <f t="shared" si="42"/>
        <v>Total</v>
      </c>
      <c r="S92" s="84" t="str">
        <f t="shared" si="42"/>
        <v>AR/AP</v>
      </c>
      <c r="T92" s="85"/>
      <c r="V92" s="9"/>
    </row>
    <row r="93" spans="1:22">
      <c r="A93" s="45"/>
      <c r="B93" s="34"/>
      <c r="C93" s="45"/>
      <c r="D93" s="45"/>
      <c r="E93" s="85"/>
      <c r="F93" s="85"/>
      <c r="G93" s="85"/>
      <c r="H93" s="85"/>
      <c r="I93" s="85"/>
      <c r="J93" s="85"/>
      <c r="K93" s="85"/>
      <c r="L93" s="85"/>
      <c r="M93" s="85"/>
      <c r="N93" s="85"/>
      <c r="O93" s="85"/>
      <c r="P93" s="85"/>
      <c r="Q93" s="85"/>
      <c r="R93" s="85"/>
      <c r="S93" s="85"/>
      <c r="T93" s="85"/>
      <c r="V93" s="9"/>
    </row>
    <row r="94" spans="1:22">
      <c r="A94" s="45"/>
      <c r="B94" s="29" t="s">
        <v>214</v>
      </c>
      <c r="C94" s="42"/>
      <c r="D94" s="45"/>
      <c r="E94" s="77"/>
      <c r="F94" s="52"/>
      <c r="G94" s="52"/>
      <c r="H94" s="52"/>
      <c r="I94" s="52"/>
      <c r="J94" s="52"/>
      <c r="K94" s="52"/>
      <c r="L94" s="52"/>
      <c r="M94" s="52"/>
      <c r="N94" s="52"/>
      <c r="O94" s="52"/>
      <c r="P94" s="52"/>
      <c r="Q94" s="52"/>
      <c r="R94" s="52"/>
      <c r="S94" s="52"/>
      <c r="T94" s="47" t="s">
        <v>91</v>
      </c>
      <c r="V94" s="9"/>
    </row>
    <row r="95" spans="1:22">
      <c r="A95" s="45"/>
      <c r="B95" s="27" t="str">
        <f>'[4]5) Year 1-5 Staff Assumptions'!B51</f>
        <v>Principal/School Leader</v>
      </c>
      <c r="C95" s="86"/>
      <c r="D95" s="45"/>
      <c r="E95" s="82">
        <f>'6) Year 1 Budget'!E58</f>
        <v>86760</v>
      </c>
      <c r="F95" s="65">
        <f>$E95/12</f>
        <v>7230</v>
      </c>
      <c r="G95" s="65">
        <f t="shared" ref="G95:Q99" si="43">$E95/12</f>
        <v>7230</v>
      </c>
      <c r="H95" s="65">
        <f t="shared" si="43"/>
        <v>7230</v>
      </c>
      <c r="I95" s="65">
        <f t="shared" si="43"/>
        <v>7230</v>
      </c>
      <c r="J95" s="65">
        <f t="shared" si="43"/>
        <v>7230</v>
      </c>
      <c r="K95" s="65">
        <f t="shared" si="43"/>
        <v>7230</v>
      </c>
      <c r="L95" s="65">
        <f t="shared" si="43"/>
        <v>7230</v>
      </c>
      <c r="M95" s="65">
        <f t="shared" si="43"/>
        <v>7230</v>
      </c>
      <c r="N95" s="65">
        <f t="shared" si="43"/>
        <v>7230</v>
      </c>
      <c r="O95" s="65">
        <f t="shared" si="43"/>
        <v>7230</v>
      </c>
      <c r="P95" s="65">
        <f t="shared" si="43"/>
        <v>7230</v>
      </c>
      <c r="Q95" s="65">
        <f t="shared" si="43"/>
        <v>7230</v>
      </c>
      <c r="R95" s="58">
        <f t="shared" ref="R95" si="44">SUM(F95:Q95)</f>
        <v>86760</v>
      </c>
      <c r="S95" s="58">
        <f t="shared" ref="S95" si="45">E95-R95</f>
        <v>0</v>
      </c>
      <c r="T95" s="107"/>
      <c r="V95" s="9"/>
    </row>
    <row r="96" spans="1:22">
      <c r="A96" s="45"/>
      <c r="B96" s="27" t="str">
        <f>'[4]5) Year 1-5 Staff Assumptions'!B52</f>
        <v>Assistant Principal</v>
      </c>
      <c r="C96" s="86"/>
      <c r="E96" s="82">
        <f>'6) Year 1 Budget'!E59</f>
        <v>70000</v>
      </c>
      <c r="F96" s="65">
        <f t="shared" ref="F96:F99" si="46">$E96/12</f>
        <v>5833.333333333333</v>
      </c>
      <c r="G96" s="65">
        <f t="shared" si="43"/>
        <v>5833.333333333333</v>
      </c>
      <c r="H96" s="65">
        <f t="shared" si="43"/>
        <v>5833.333333333333</v>
      </c>
      <c r="I96" s="65">
        <f t="shared" si="43"/>
        <v>5833.333333333333</v>
      </c>
      <c r="J96" s="65">
        <f t="shared" si="43"/>
        <v>5833.333333333333</v>
      </c>
      <c r="K96" s="65">
        <f t="shared" si="43"/>
        <v>5833.333333333333</v>
      </c>
      <c r="L96" s="65">
        <f t="shared" si="43"/>
        <v>5833.333333333333</v>
      </c>
      <c r="M96" s="65">
        <f t="shared" si="43"/>
        <v>5833.333333333333</v>
      </c>
      <c r="N96" s="65">
        <f t="shared" si="43"/>
        <v>5833.333333333333</v>
      </c>
      <c r="O96" s="65">
        <f t="shared" si="43"/>
        <v>5833.333333333333</v>
      </c>
      <c r="P96" s="65">
        <f t="shared" si="43"/>
        <v>5833.333333333333</v>
      </c>
      <c r="Q96" s="65">
        <f t="shared" si="43"/>
        <v>5833.333333333333</v>
      </c>
      <c r="R96" s="58">
        <f t="shared" ref="R96:R99" si="47">SUM(F96:Q96)</f>
        <v>70000.000000000015</v>
      </c>
      <c r="S96" s="58">
        <f t="shared" ref="S96:S99" si="48">E96-R96</f>
        <v>0</v>
      </c>
      <c r="T96" s="107"/>
      <c r="V96" s="9"/>
    </row>
    <row r="97" spans="1:22">
      <c r="A97" s="45"/>
      <c r="B97" s="27" t="str">
        <f>'[4]5) Year 1-5 Staff Assumptions'!B53</f>
        <v>Special Education Coordinator</v>
      </c>
      <c r="C97" s="86"/>
      <c r="E97" s="82">
        <f>'6) Year 1 Budget'!E60</f>
        <v>0</v>
      </c>
      <c r="F97" s="65">
        <f t="shared" si="46"/>
        <v>0</v>
      </c>
      <c r="G97" s="65">
        <f t="shared" si="43"/>
        <v>0</v>
      </c>
      <c r="H97" s="65">
        <f t="shared" si="43"/>
        <v>0</v>
      </c>
      <c r="I97" s="65">
        <f t="shared" si="43"/>
        <v>0</v>
      </c>
      <c r="J97" s="65">
        <f t="shared" si="43"/>
        <v>0</v>
      </c>
      <c r="K97" s="65">
        <f t="shared" si="43"/>
        <v>0</v>
      </c>
      <c r="L97" s="65">
        <f t="shared" si="43"/>
        <v>0</v>
      </c>
      <c r="M97" s="65">
        <f t="shared" si="43"/>
        <v>0</v>
      </c>
      <c r="N97" s="65">
        <f t="shared" si="43"/>
        <v>0</v>
      </c>
      <c r="O97" s="65">
        <f t="shared" si="43"/>
        <v>0</v>
      </c>
      <c r="P97" s="65">
        <f t="shared" si="43"/>
        <v>0</v>
      </c>
      <c r="Q97" s="65">
        <f t="shared" si="43"/>
        <v>0</v>
      </c>
      <c r="R97" s="58">
        <f t="shared" si="47"/>
        <v>0</v>
      </c>
      <c r="S97" s="58">
        <f t="shared" si="48"/>
        <v>0</v>
      </c>
      <c r="T97" s="107"/>
      <c r="V97" s="9"/>
    </row>
    <row r="98" spans="1:22">
      <c r="A98" s="45"/>
      <c r="B98" s="27" t="str">
        <f>'[4]5) Year 1-5 Staff Assumptions'!B54</f>
        <v>Deans, Directors</v>
      </c>
      <c r="C98" s="86"/>
      <c r="E98" s="82">
        <f>'6) Year 1 Budget'!E61</f>
        <v>45000</v>
      </c>
      <c r="F98" s="65">
        <f t="shared" si="46"/>
        <v>3750</v>
      </c>
      <c r="G98" s="65">
        <f t="shared" si="43"/>
        <v>3750</v>
      </c>
      <c r="H98" s="65">
        <f t="shared" si="43"/>
        <v>3750</v>
      </c>
      <c r="I98" s="65">
        <f t="shared" si="43"/>
        <v>3750</v>
      </c>
      <c r="J98" s="65">
        <f t="shared" si="43"/>
        <v>3750</v>
      </c>
      <c r="K98" s="65">
        <f t="shared" si="43"/>
        <v>3750</v>
      </c>
      <c r="L98" s="65">
        <f t="shared" si="43"/>
        <v>3750</v>
      </c>
      <c r="M98" s="65">
        <f t="shared" si="43"/>
        <v>3750</v>
      </c>
      <c r="N98" s="65">
        <f t="shared" si="43"/>
        <v>3750</v>
      </c>
      <c r="O98" s="65">
        <f t="shared" si="43"/>
        <v>3750</v>
      </c>
      <c r="P98" s="65">
        <f t="shared" si="43"/>
        <v>3750</v>
      </c>
      <c r="Q98" s="65">
        <f t="shared" si="43"/>
        <v>3750</v>
      </c>
      <c r="R98" s="58">
        <f t="shared" si="47"/>
        <v>45000</v>
      </c>
      <c r="S98" s="58">
        <f t="shared" si="48"/>
        <v>0</v>
      </c>
      <c r="T98" s="107"/>
      <c r="V98" s="9"/>
    </row>
    <row r="99" spans="1:22">
      <c r="A99" s="45"/>
      <c r="B99" s="27" t="str">
        <f>'[4]5) Year 1-5 Staff Assumptions'!B55</f>
        <v>Other (Specify in Assumptions)</v>
      </c>
      <c r="C99" s="86"/>
      <c r="E99" s="82">
        <f>'6) Year 1 Budget'!E62</f>
        <v>0</v>
      </c>
      <c r="F99" s="65">
        <f t="shared" si="46"/>
        <v>0</v>
      </c>
      <c r="G99" s="65">
        <f t="shared" si="43"/>
        <v>0</v>
      </c>
      <c r="H99" s="65">
        <f t="shared" si="43"/>
        <v>0</v>
      </c>
      <c r="I99" s="65">
        <f t="shared" si="43"/>
        <v>0</v>
      </c>
      <c r="J99" s="65">
        <f t="shared" si="43"/>
        <v>0</v>
      </c>
      <c r="K99" s="65">
        <f t="shared" si="43"/>
        <v>0</v>
      </c>
      <c r="L99" s="65">
        <f t="shared" si="43"/>
        <v>0</v>
      </c>
      <c r="M99" s="65">
        <f t="shared" si="43"/>
        <v>0</v>
      </c>
      <c r="N99" s="65">
        <f t="shared" si="43"/>
        <v>0</v>
      </c>
      <c r="O99" s="65">
        <f t="shared" si="43"/>
        <v>0</v>
      </c>
      <c r="P99" s="65">
        <f t="shared" si="43"/>
        <v>0</v>
      </c>
      <c r="Q99" s="65">
        <f t="shared" si="43"/>
        <v>0</v>
      </c>
      <c r="R99" s="58">
        <f t="shared" si="47"/>
        <v>0</v>
      </c>
      <c r="S99" s="58">
        <f t="shared" si="48"/>
        <v>0</v>
      </c>
      <c r="T99" s="107"/>
      <c r="V99" s="9"/>
    </row>
    <row r="100" spans="1:22" ht="30">
      <c r="A100" s="45"/>
      <c r="B100" s="29" t="str">
        <f>'[4]5) Year 1-5 Staff Assumptions'!B56</f>
        <v>Total Administrative Compensation</v>
      </c>
      <c r="C100" s="59"/>
      <c r="D100" s="87"/>
      <c r="E100" s="60">
        <f>'6) Year 1 Budget'!E63</f>
        <v>201760</v>
      </c>
      <c r="F100" s="90">
        <f>SUM(F95:F99)</f>
        <v>16813.333333333332</v>
      </c>
      <c r="G100" s="90">
        <f t="shared" ref="G100:S100" si="49">SUM(G95:G99)</f>
        <v>16813.333333333332</v>
      </c>
      <c r="H100" s="90">
        <f t="shared" si="49"/>
        <v>16813.333333333332</v>
      </c>
      <c r="I100" s="90">
        <f t="shared" si="49"/>
        <v>16813.333333333332</v>
      </c>
      <c r="J100" s="90">
        <f t="shared" si="49"/>
        <v>16813.333333333332</v>
      </c>
      <c r="K100" s="90">
        <f t="shared" si="49"/>
        <v>16813.333333333332</v>
      </c>
      <c r="L100" s="90">
        <f t="shared" si="49"/>
        <v>16813.333333333332</v>
      </c>
      <c r="M100" s="90">
        <f t="shared" si="49"/>
        <v>16813.333333333332</v>
      </c>
      <c r="N100" s="90">
        <f t="shared" si="49"/>
        <v>16813.333333333332</v>
      </c>
      <c r="O100" s="90">
        <f t="shared" si="49"/>
        <v>16813.333333333332</v>
      </c>
      <c r="P100" s="90">
        <f t="shared" si="49"/>
        <v>16813.333333333332</v>
      </c>
      <c r="Q100" s="90">
        <f t="shared" si="49"/>
        <v>16813.333333333332</v>
      </c>
      <c r="R100" s="90">
        <f t="shared" si="49"/>
        <v>201760</v>
      </c>
      <c r="S100" s="90">
        <f t="shared" si="49"/>
        <v>0</v>
      </c>
      <c r="T100" s="116"/>
      <c r="V100" s="9"/>
    </row>
    <row r="101" spans="1:22">
      <c r="A101" s="45"/>
      <c r="B101" s="27"/>
      <c r="C101" s="86"/>
      <c r="E101" s="77"/>
      <c r="F101" s="91"/>
      <c r="G101" s="91"/>
      <c r="H101" s="91"/>
      <c r="I101" s="91"/>
      <c r="J101" s="91"/>
      <c r="K101" s="91"/>
      <c r="L101" s="91"/>
      <c r="M101" s="91"/>
      <c r="N101" s="91"/>
      <c r="O101" s="91"/>
      <c r="P101" s="91"/>
      <c r="Q101" s="91"/>
      <c r="R101" s="77"/>
      <c r="S101" s="77"/>
      <c r="T101" s="117"/>
      <c r="V101" s="9"/>
    </row>
    <row r="102" spans="1:22">
      <c r="A102" s="45"/>
      <c r="B102" s="27" t="str">
        <f>'[4]5) Year 1-5 Staff Assumptions'!B58</f>
        <v>Instructional Staff</v>
      </c>
      <c r="C102" s="86"/>
      <c r="D102" s="86"/>
      <c r="E102" s="86"/>
      <c r="F102" s="92"/>
      <c r="G102" s="92"/>
      <c r="H102" s="92"/>
      <c r="I102" s="92"/>
      <c r="J102" s="92"/>
      <c r="K102" s="92"/>
      <c r="L102" s="92"/>
      <c r="M102" s="92"/>
      <c r="N102" s="92"/>
      <c r="O102" s="92"/>
      <c r="P102" s="92"/>
      <c r="Q102" s="92"/>
      <c r="R102" s="86"/>
      <c r="S102" s="86"/>
      <c r="T102" s="118"/>
      <c r="V102" s="9"/>
    </row>
    <row r="103" spans="1:22">
      <c r="A103" s="45"/>
      <c r="B103" s="27" t="str">
        <f>'[4]5) Year 1-5 Staff Assumptions'!B59</f>
        <v>Teachers</v>
      </c>
      <c r="C103" s="86"/>
      <c r="E103" s="82">
        <f>'6) Year 1 Budget'!E66</f>
        <v>336000</v>
      </c>
      <c r="F103" s="65">
        <f>$E103/12</f>
        <v>28000</v>
      </c>
      <c r="G103" s="65">
        <f t="shared" ref="G103:Q107" si="50">$E103/12</f>
        <v>28000</v>
      </c>
      <c r="H103" s="65">
        <f t="shared" si="50"/>
        <v>28000</v>
      </c>
      <c r="I103" s="65">
        <f t="shared" si="50"/>
        <v>28000</v>
      </c>
      <c r="J103" s="65">
        <f t="shared" si="50"/>
        <v>28000</v>
      </c>
      <c r="K103" s="65">
        <f t="shared" si="50"/>
        <v>28000</v>
      </c>
      <c r="L103" s="65">
        <f t="shared" si="50"/>
        <v>28000</v>
      </c>
      <c r="M103" s="65">
        <f t="shared" si="50"/>
        <v>28000</v>
      </c>
      <c r="N103" s="65">
        <f t="shared" si="50"/>
        <v>28000</v>
      </c>
      <c r="O103" s="65">
        <f t="shared" si="50"/>
        <v>28000</v>
      </c>
      <c r="P103" s="65">
        <f t="shared" si="50"/>
        <v>28000</v>
      </c>
      <c r="Q103" s="65">
        <f t="shared" si="50"/>
        <v>28000</v>
      </c>
      <c r="R103" s="58">
        <f t="shared" ref="R103" si="51">SUM(F103:Q103)</f>
        <v>336000</v>
      </c>
      <c r="S103" s="58">
        <f t="shared" ref="S103" si="52">E103-R103</f>
        <v>0</v>
      </c>
      <c r="T103" s="107"/>
      <c r="V103" s="9"/>
    </row>
    <row r="104" spans="1:22">
      <c r="A104" s="45"/>
      <c r="B104" s="27" t="str">
        <f>'[4]5) Year 1-5 Staff Assumptions'!B60</f>
        <v>Special Education Teachers</v>
      </c>
      <c r="C104" s="86"/>
      <c r="E104" s="82">
        <f>'6) Year 1 Budget'!E67</f>
        <v>42000</v>
      </c>
      <c r="F104" s="65">
        <f t="shared" ref="F104:F107" si="53">$E104/12</f>
        <v>3500</v>
      </c>
      <c r="G104" s="65">
        <f t="shared" si="50"/>
        <v>3500</v>
      </c>
      <c r="H104" s="65">
        <f t="shared" si="50"/>
        <v>3500</v>
      </c>
      <c r="I104" s="65">
        <f t="shared" si="50"/>
        <v>3500</v>
      </c>
      <c r="J104" s="65">
        <f t="shared" si="50"/>
        <v>3500</v>
      </c>
      <c r="K104" s="65">
        <f t="shared" si="50"/>
        <v>3500</v>
      </c>
      <c r="L104" s="65">
        <f t="shared" si="50"/>
        <v>3500</v>
      </c>
      <c r="M104" s="65">
        <f t="shared" si="50"/>
        <v>3500</v>
      </c>
      <c r="N104" s="65">
        <f t="shared" si="50"/>
        <v>3500</v>
      </c>
      <c r="O104" s="65">
        <f t="shared" si="50"/>
        <v>3500</v>
      </c>
      <c r="P104" s="65">
        <f t="shared" si="50"/>
        <v>3500</v>
      </c>
      <c r="Q104" s="65">
        <f t="shared" si="50"/>
        <v>3500</v>
      </c>
      <c r="R104" s="58">
        <f t="shared" ref="R104:R107" si="54">SUM(F104:Q104)</f>
        <v>42000</v>
      </c>
      <c r="S104" s="58">
        <f t="shared" ref="S104:S107" si="55">E104-R104</f>
        <v>0</v>
      </c>
      <c r="T104" s="107"/>
      <c r="V104" s="9"/>
    </row>
    <row r="105" spans="1:22">
      <c r="A105" s="45"/>
      <c r="B105" s="27" t="str">
        <f>'[4]5) Year 1-5 Staff Assumptions'!B61</f>
        <v>Eduacational Assistants/Aides</v>
      </c>
      <c r="C105" s="86"/>
      <c r="E105" s="82">
        <f>'6) Year 1 Budget'!E68</f>
        <v>0</v>
      </c>
      <c r="F105" s="65">
        <f t="shared" si="53"/>
        <v>0</v>
      </c>
      <c r="G105" s="65">
        <f t="shared" si="50"/>
        <v>0</v>
      </c>
      <c r="H105" s="65">
        <f t="shared" si="50"/>
        <v>0</v>
      </c>
      <c r="I105" s="65">
        <f t="shared" si="50"/>
        <v>0</v>
      </c>
      <c r="J105" s="65">
        <f t="shared" si="50"/>
        <v>0</v>
      </c>
      <c r="K105" s="65">
        <f t="shared" si="50"/>
        <v>0</v>
      </c>
      <c r="L105" s="65">
        <f t="shared" si="50"/>
        <v>0</v>
      </c>
      <c r="M105" s="65">
        <f t="shared" si="50"/>
        <v>0</v>
      </c>
      <c r="N105" s="65">
        <f t="shared" si="50"/>
        <v>0</v>
      </c>
      <c r="O105" s="65">
        <f t="shared" si="50"/>
        <v>0</v>
      </c>
      <c r="P105" s="65">
        <f t="shared" si="50"/>
        <v>0</v>
      </c>
      <c r="Q105" s="65">
        <f t="shared" si="50"/>
        <v>0</v>
      </c>
      <c r="R105" s="58">
        <f t="shared" si="54"/>
        <v>0</v>
      </c>
      <c r="S105" s="58">
        <f t="shared" si="55"/>
        <v>0</v>
      </c>
      <c r="T105" s="107"/>
      <c r="V105" s="9"/>
    </row>
    <row r="106" spans="1:22">
      <c r="A106" s="45"/>
      <c r="B106" s="27" t="str">
        <f>'[4]5) Year 1-5 Staff Assumptions'!B62</f>
        <v>Elective Teachers</v>
      </c>
      <c r="C106" s="86"/>
      <c r="E106" s="82">
        <f>'6) Year 1 Budget'!E69</f>
        <v>42000</v>
      </c>
      <c r="F106" s="65">
        <f t="shared" si="53"/>
        <v>3500</v>
      </c>
      <c r="G106" s="65">
        <f t="shared" si="50"/>
        <v>3500</v>
      </c>
      <c r="H106" s="65">
        <f t="shared" si="50"/>
        <v>3500</v>
      </c>
      <c r="I106" s="65">
        <f t="shared" si="50"/>
        <v>3500</v>
      </c>
      <c r="J106" s="65">
        <f t="shared" si="50"/>
        <v>3500</v>
      </c>
      <c r="K106" s="65">
        <f t="shared" si="50"/>
        <v>3500</v>
      </c>
      <c r="L106" s="65">
        <f t="shared" si="50"/>
        <v>3500</v>
      </c>
      <c r="M106" s="65">
        <f t="shared" si="50"/>
        <v>3500</v>
      </c>
      <c r="N106" s="65">
        <f t="shared" si="50"/>
        <v>3500</v>
      </c>
      <c r="O106" s="65">
        <f t="shared" si="50"/>
        <v>3500</v>
      </c>
      <c r="P106" s="65">
        <f t="shared" si="50"/>
        <v>3500</v>
      </c>
      <c r="Q106" s="65">
        <f t="shared" si="50"/>
        <v>3500</v>
      </c>
      <c r="R106" s="58">
        <f t="shared" si="54"/>
        <v>42000</v>
      </c>
      <c r="S106" s="58">
        <f t="shared" si="55"/>
        <v>0</v>
      </c>
      <c r="T106" s="107"/>
      <c r="V106" s="9"/>
    </row>
    <row r="107" spans="1:22">
      <c r="A107" s="45"/>
      <c r="B107" s="27" t="str">
        <f>'[4]5) Year 1-5 Staff Assumptions'!B63</f>
        <v>Other (Specify in Assumptions)</v>
      </c>
      <c r="C107" s="86"/>
      <c r="E107" s="82">
        <f>'6) Year 1 Budget'!E70</f>
        <v>0</v>
      </c>
      <c r="F107" s="65">
        <f t="shared" si="53"/>
        <v>0</v>
      </c>
      <c r="G107" s="65">
        <f t="shared" si="50"/>
        <v>0</v>
      </c>
      <c r="H107" s="65">
        <f t="shared" si="50"/>
        <v>0</v>
      </c>
      <c r="I107" s="65">
        <f t="shared" si="50"/>
        <v>0</v>
      </c>
      <c r="J107" s="65">
        <f t="shared" si="50"/>
        <v>0</v>
      </c>
      <c r="K107" s="65">
        <f t="shared" si="50"/>
        <v>0</v>
      </c>
      <c r="L107" s="65">
        <f t="shared" si="50"/>
        <v>0</v>
      </c>
      <c r="M107" s="65">
        <f t="shared" si="50"/>
        <v>0</v>
      </c>
      <c r="N107" s="65">
        <f t="shared" si="50"/>
        <v>0</v>
      </c>
      <c r="O107" s="65">
        <f t="shared" si="50"/>
        <v>0</v>
      </c>
      <c r="P107" s="65">
        <f t="shared" si="50"/>
        <v>0</v>
      </c>
      <c r="Q107" s="65">
        <f t="shared" si="50"/>
        <v>0</v>
      </c>
      <c r="R107" s="58">
        <f t="shared" si="54"/>
        <v>0</v>
      </c>
      <c r="S107" s="58">
        <f t="shared" si="55"/>
        <v>0</v>
      </c>
      <c r="T107" s="107"/>
      <c r="V107" s="9"/>
    </row>
    <row r="108" spans="1:22">
      <c r="A108" s="45"/>
      <c r="B108" s="29" t="str">
        <f>'[4]5) Year 1-5 Staff Assumptions'!B64</f>
        <v>Total Instructional Compensation</v>
      </c>
      <c r="C108" s="59"/>
      <c r="D108" s="87"/>
      <c r="E108" s="60">
        <f>'6) Year 1 Budget'!E71</f>
        <v>420000</v>
      </c>
      <c r="F108" s="90">
        <f>SUM(F103:F107)</f>
        <v>35000</v>
      </c>
      <c r="G108" s="90">
        <f t="shared" ref="G108:S108" si="56">SUM(G103:G107)</f>
        <v>35000</v>
      </c>
      <c r="H108" s="90">
        <f t="shared" si="56"/>
        <v>35000</v>
      </c>
      <c r="I108" s="90">
        <f t="shared" si="56"/>
        <v>35000</v>
      </c>
      <c r="J108" s="90">
        <f t="shared" si="56"/>
        <v>35000</v>
      </c>
      <c r="K108" s="90">
        <f t="shared" si="56"/>
        <v>35000</v>
      </c>
      <c r="L108" s="90">
        <f t="shared" si="56"/>
        <v>35000</v>
      </c>
      <c r="M108" s="90">
        <f t="shared" si="56"/>
        <v>35000</v>
      </c>
      <c r="N108" s="90">
        <f t="shared" si="56"/>
        <v>35000</v>
      </c>
      <c r="O108" s="90">
        <f t="shared" si="56"/>
        <v>35000</v>
      </c>
      <c r="P108" s="90">
        <f t="shared" si="56"/>
        <v>35000</v>
      </c>
      <c r="Q108" s="90">
        <f t="shared" si="56"/>
        <v>35000</v>
      </c>
      <c r="R108" s="90">
        <f t="shared" si="56"/>
        <v>420000</v>
      </c>
      <c r="S108" s="90">
        <f t="shared" si="56"/>
        <v>0</v>
      </c>
      <c r="T108" s="116"/>
      <c r="V108" s="9"/>
    </row>
    <row r="109" spans="1:22">
      <c r="A109" s="45"/>
      <c r="B109" s="27"/>
      <c r="C109" s="86"/>
      <c r="E109" s="77"/>
      <c r="F109" s="91"/>
      <c r="G109" s="91"/>
      <c r="H109" s="91"/>
      <c r="I109" s="91"/>
      <c r="J109" s="91"/>
      <c r="K109" s="91"/>
      <c r="L109" s="91"/>
      <c r="M109" s="91"/>
      <c r="N109" s="91"/>
      <c r="O109" s="91"/>
      <c r="P109" s="91"/>
      <c r="Q109" s="91"/>
      <c r="R109" s="77"/>
      <c r="S109" s="77"/>
      <c r="T109" s="117"/>
      <c r="V109" s="9"/>
    </row>
    <row r="110" spans="1:22">
      <c r="A110" s="45"/>
      <c r="B110" s="27" t="str">
        <f>'[4]5) Year 1-5 Staff Assumptions'!B66</f>
        <v>Non-Instructional Staff</v>
      </c>
      <c r="C110" s="86"/>
      <c r="D110" s="86"/>
      <c r="E110" s="86"/>
      <c r="F110" s="92"/>
      <c r="G110" s="92"/>
      <c r="H110" s="92"/>
      <c r="I110" s="92"/>
      <c r="J110" s="92"/>
      <c r="K110" s="92"/>
      <c r="L110" s="92"/>
      <c r="M110" s="92"/>
      <c r="N110" s="92"/>
      <c r="O110" s="92"/>
      <c r="P110" s="92"/>
      <c r="Q110" s="92"/>
      <c r="R110" s="86"/>
      <c r="S110" s="86"/>
      <c r="T110" s="118"/>
      <c r="V110" s="9"/>
    </row>
    <row r="111" spans="1:22">
      <c r="A111" s="45"/>
      <c r="B111" s="27" t="str">
        <f>'[4]5) Year 1-5 Staff Assumptions'!B67</f>
        <v>Clerical Staff</v>
      </c>
      <c r="C111" s="86"/>
      <c r="D111" s="45"/>
      <c r="E111" s="82">
        <f>'6) Year 1 Budget'!E74</f>
        <v>78000</v>
      </c>
      <c r="F111" s="65">
        <f>$E111/12</f>
        <v>6500</v>
      </c>
      <c r="G111" s="65">
        <f t="shared" ref="G111:Q115" si="57">$E111/12</f>
        <v>6500</v>
      </c>
      <c r="H111" s="65">
        <f t="shared" si="57"/>
        <v>6500</v>
      </c>
      <c r="I111" s="65">
        <f t="shared" si="57"/>
        <v>6500</v>
      </c>
      <c r="J111" s="65">
        <f t="shared" si="57"/>
        <v>6500</v>
      </c>
      <c r="K111" s="65">
        <f t="shared" si="57"/>
        <v>6500</v>
      </c>
      <c r="L111" s="65">
        <f t="shared" si="57"/>
        <v>6500</v>
      </c>
      <c r="M111" s="65">
        <f t="shared" si="57"/>
        <v>6500</v>
      </c>
      <c r="N111" s="65">
        <f t="shared" si="57"/>
        <v>6500</v>
      </c>
      <c r="O111" s="65">
        <f t="shared" si="57"/>
        <v>6500</v>
      </c>
      <c r="P111" s="65">
        <f t="shared" si="57"/>
        <v>6500</v>
      </c>
      <c r="Q111" s="65">
        <f t="shared" si="57"/>
        <v>6500</v>
      </c>
      <c r="R111" s="58">
        <f t="shared" ref="R111:R115" si="58">SUM(F111:Q111)</f>
        <v>78000</v>
      </c>
      <c r="S111" s="58">
        <f t="shared" ref="S111:S115" si="59">E111-R111</f>
        <v>0</v>
      </c>
      <c r="T111" s="107"/>
      <c r="V111" s="9"/>
    </row>
    <row r="112" spans="1:22">
      <c r="A112" s="45"/>
      <c r="B112" s="27" t="str">
        <f>'[4]5) Year 1-5 Staff Assumptions'!B68</f>
        <v>Custodial Staff</v>
      </c>
      <c r="C112" s="86"/>
      <c r="D112" s="45"/>
      <c r="E112" s="82">
        <f>'6) Year 1 Budget'!E75</f>
        <v>22800</v>
      </c>
      <c r="F112" s="65">
        <f t="shared" ref="F112:F115" si="60">$E112/12</f>
        <v>1900</v>
      </c>
      <c r="G112" s="65">
        <f t="shared" si="57"/>
        <v>1900</v>
      </c>
      <c r="H112" s="65">
        <f t="shared" si="57"/>
        <v>1900</v>
      </c>
      <c r="I112" s="65">
        <f t="shared" si="57"/>
        <v>1900</v>
      </c>
      <c r="J112" s="65">
        <f t="shared" si="57"/>
        <v>1900</v>
      </c>
      <c r="K112" s="65">
        <f t="shared" si="57"/>
        <v>1900</v>
      </c>
      <c r="L112" s="65">
        <f t="shared" si="57"/>
        <v>1900</v>
      </c>
      <c r="M112" s="65">
        <f t="shared" si="57"/>
        <v>1900</v>
      </c>
      <c r="N112" s="65">
        <f t="shared" si="57"/>
        <v>1900</v>
      </c>
      <c r="O112" s="65">
        <f t="shared" si="57"/>
        <v>1900</v>
      </c>
      <c r="P112" s="65">
        <f t="shared" si="57"/>
        <v>1900</v>
      </c>
      <c r="Q112" s="65">
        <f t="shared" si="57"/>
        <v>1900</v>
      </c>
      <c r="R112" s="58">
        <f t="shared" si="58"/>
        <v>22800</v>
      </c>
      <c r="S112" s="58">
        <f t="shared" si="59"/>
        <v>0</v>
      </c>
      <c r="T112" s="107"/>
      <c r="V112" s="9"/>
    </row>
    <row r="113" spans="1:22">
      <c r="A113" s="45"/>
      <c r="B113" s="27" t="str">
        <f>'[4]5) Year 1-5 Staff Assumptions'!B69</f>
        <v>Operations</v>
      </c>
      <c r="C113" s="86"/>
      <c r="D113" s="45"/>
      <c r="E113" s="82">
        <f>'6) Year 1 Budget'!E76</f>
        <v>243510</v>
      </c>
      <c r="F113" s="65">
        <f t="shared" si="60"/>
        <v>20292.5</v>
      </c>
      <c r="G113" s="65">
        <f t="shared" si="57"/>
        <v>20292.5</v>
      </c>
      <c r="H113" s="65">
        <f t="shared" si="57"/>
        <v>20292.5</v>
      </c>
      <c r="I113" s="65">
        <f t="shared" si="57"/>
        <v>20292.5</v>
      </c>
      <c r="J113" s="65">
        <f t="shared" si="57"/>
        <v>20292.5</v>
      </c>
      <c r="K113" s="65">
        <f t="shared" si="57"/>
        <v>20292.5</v>
      </c>
      <c r="L113" s="65">
        <f t="shared" si="57"/>
        <v>20292.5</v>
      </c>
      <c r="M113" s="65">
        <f t="shared" si="57"/>
        <v>20292.5</v>
      </c>
      <c r="N113" s="65">
        <f t="shared" si="57"/>
        <v>20292.5</v>
      </c>
      <c r="O113" s="65">
        <f t="shared" si="57"/>
        <v>20292.5</v>
      </c>
      <c r="P113" s="65">
        <f t="shared" si="57"/>
        <v>20292.5</v>
      </c>
      <c r="Q113" s="65">
        <f t="shared" si="57"/>
        <v>20292.5</v>
      </c>
      <c r="R113" s="58">
        <f t="shared" si="58"/>
        <v>243510</v>
      </c>
      <c r="S113" s="58">
        <f t="shared" si="59"/>
        <v>0</v>
      </c>
      <c r="T113" s="107"/>
      <c r="V113" s="9"/>
    </row>
    <row r="114" spans="1:22">
      <c r="A114" s="45"/>
      <c r="B114" s="27" t="str">
        <f>'[4]5) Year 1-5 Staff Assumptions'!B70</f>
        <v>Social Workers/Counseling</v>
      </c>
      <c r="C114" s="86"/>
      <c r="D114" s="45"/>
      <c r="E114" s="82">
        <f>'6) Year 1 Budget'!E77</f>
        <v>37372</v>
      </c>
      <c r="F114" s="65">
        <f t="shared" si="60"/>
        <v>3114.3333333333335</v>
      </c>
      <c r="G114" s="65">
        <f t="shared" si="57"/>
        <v>3114.3333333333335</v>
      </c>
      <c r="H114" s="65">
        <f t="shared" si="57"/>
        <v>3114.3333333333335</v>
      </c>
      <c r="I114" s="65">
        <f t="shared" si="57"/>
        <v>3114.3333333333335</v>
      </c>
      <c r="J114" s="65">
        <f t="shared" si="57"/>
        <v>3114.3333333333335</v>
      </c>
      <c r="K114" s="65">
        <f t="shared" si="57"/>
        <v>3114.3333333333335</v>
      </c>
      <c r="L114" s="65">
        <f t="shared" si="57"/>
        <v>3114.3333333333335</v>
      </c>
      <c r="M114" s="65">
        <f t="shared" si="57"/>
        <v>3114.3333333333335</v>
      </c>
      <c r="N114" s="65">
        <f t="shared" si="57"/>
        <v>3114.3333333333335</v>
      </c>
      <c r="O114" s="65">
        <f t="shared" si="57"/>
        <v>3114.3333333333335</v>
      </c>
      <c r="P114" s="65">
        <f t="shared" si="57"/>
        <v>3114.3333333333335</v>
      </c>
      <c r="Q114" s="65">
        <f t="shared" si="57"/>
        <v>3114.3333333333335</v>
      </c>
      <c r="R114" s="58">
        <f t="shared" si="58"/>
        <v>37372</v>
      </c>
      <c r="S114" s="58">
        <f t="shared" si="59"/>
        <v>0</v>
      </c>
      <c r="T114" s="107"/>
      <c r="V114" s="9"/>
    </row>
    <row r="115" spans="1:22">
      <c r="A115" s="45"/>
      <c r="B115" s="27" t="str">
        <f>'[4]5) Year 1-5 Staff Assumptions'!B71</f>
        <v>Other (Specify in Assumptions)</v>
      </c>
      <c r="C115" s="86"/>
      <c r="D115" s="45"/>
      <c r="E115" s="82">
        <f>'6) Year 1 Budget'!E78</f>
        <v>26000</v>
      </c>
      <c r="F115" s="65">
        <f t="shared" si="60"/>
        <v>2166.6666666666665</v>
      </c>
      <c r="G115" s="65">
        <f t="shared" si="57"/>
        <v>2166.6666666666665</v>
      </c>
      <c r="H115" s="65">
        <f t="shared" si="57"/>
        <v>2166.6666666666665</v>
      </c>
      <c r="I115" s="65">
        <f t="shared" si="57"/>
        <v>2166.6666666666665</v>
      </c>
      <c r="J115" s="65">
        <f t="shared" si="57"/>
        <v>2166.6666666666665</v>
      </c>
      <c r="K115" s="65">
        <f t="shared" si="57"/>
        <v>2166.6666666666665</v>
      </c>
      <c r="L115" s="65">
        <f t="shared" si="57"/>
        <v>2166.6666666666665</v>
      </c>
      <c r="M115" s="65">
        <f t="shared" si="57"/>
        <v>2166.6666666666665</v>
      </c>
      <c r="N115" s="65">
        <f t="shared" si="57"/>
        <v>2166.6666666666665</v>
      </c>
      <c r="O115" s="65">
        <f t="shared" si="57"/>
        <v>2166.6666666666665</v>
      </c>
      <c r="P115" s="65">
        <f t="shared" si="57"/>
        <v>2166.6666666666665</v>
      </c>
      <c r="Q115" s="65">
        <f t="shared" si="57"/>
        <v>2166.6666666666665</v>
      </c>
      <c r="R115" s="58">
        <f t="shared" si="58"/>
        <v>26000.000000000004</v>
      </c>
      <c r="S115" s="58">
        <f t="shared" si="59"/>
        <v>0</v>
      </c>
      <c r="T115" s="107"/>
      <c r="V115" s="9"/>
    </row>
    <row r="116" spans="1:22" ht="30">
      <c r="A116" s="45"/>
      <c r="B116" s="29" t="str">
        <f>'[4]5) Year 1-5 Staff Assumptions'!B72</f>
        <v>Total Non-Instructional  Compensation</v>
      </c>
      <c r="C116" s="59"/>
      <c r="D116" s="42"/>
      <c r="E116" s="60">
        <f>'6) Year 1 Budget'!E79</f>
        <v>407682</v>
      </c>
      <c r="F116" s="90">
        <f>SUM(F111:F115)</f>
        <v>33973.5</v>
      </c>
      <c r="G116" s="90">
        <f t="shared" ref="G116:S116" si="61">SUM(G111:G115)</f>
        <v>33973.5</v>
      </c>
      <c r="H116" s="90">
        <f t="shared" si="61"/>
        <v>33973.5</v>
      </c>
      <c r="I116" s="90">
        <f t="shared" si="61"/>
        <v>33973.5</v>
      </c>
      <c r="J116" s="90">
        <f t="shared" si="61"/>
        <v>33973.5</v>
      </c>
      <c r="K116" s="90">
        <f t="shared" si="61"/>
        <v>33973.5</v>
      </c>
      <c r="L116" s="90">
        <f t="shared" si="61"/>
        <v>33973.5</v>
      </c>
      <c r="M116" s="90">
        <f t="shared" si="61"/>
        <v>33973.5</v>
      </c>
      <c r="N116" s="90">
        <f t="shared" si="61"/>
        <v>33973.5</v>
      </c>
      <c r="O116" s="90">
        <f t="shared" si="61"/>
        <v>33973.5</v>
      </c>
      <c r="P116" s="90">
        <f t="shared" si="61"/>
        <v>33973.5</v>
      </c>
      <c r="Q116" s="90">
        <f t="shared" si="61"/>
        <v>33973.5</v>
      </c>
      <c r="R116" s="90">
        <f t="shared" si="61"/>
        <v>407682</v>
      </c>
      <c r="S116" s="90">
        <f t="shared" si="61"/>
        <v>0</v>
      </c>
      <c r="T116" s="116"/>
      <c r="V116" s="9"/>
    </row>
    <row r="117" spans="1:22">
      <c r="A117" s="45"/>
      <c r="B117" s="27"/>
      <c r="C117" s="45"/>
      <c r="D117" s="45"/>
      <c r="E117" s="77"/>
      <c r="F117" s="91"/>
      <c r="G117" s="91"/>
      <c r="H117" s="91"/>
      <c r="I117" s="91"/>
      <c r="J117" s="91"/>
      <c r="K117" s="91"/>
      <c r="L117" s="91"/>
      <c r="M117" s="91"/>
      <c r="N117" s="91"/>
      <c r="O117" s="91"/>
      <c r="P117" s="91"/>
      <c r="Q117" s="91"/>
      <c r="R117" s="77"/>
      <c r="S117" s="77"/>
      <c r="T117" s="117"/>
      <c r="V117" s="9"/>
    </row>
    <row r="118" spans="1:22">
      <c r="A118" s="45"/>
      <c r="B118" s="27" t="str">
        <f>'[4]5) Year 1-5 Staff Assumptions'!B74</f>
        <v>Other Compensation</v>
      </c>
      <c r="C118" s="45"/>
      <c r="D118" s="45"/>
      <c r="E118" s="82">
        <f>'6) Year 1 Budget'!E81</f>
        <v>25000</v>
      </c>
      <c r="F118" s="65">
        <f>$E118/12</f>
        <v>2083.3333333333335</v>
      </c>
      <c r="G118" s="65">
        <f t="shared" ref="G118:Q121" si="62">$E118/12</f>
        <v>2083.3333333333335</v>
      </c>
      <c r="H118" s="65">
        <f t="shared" si="62"/>
        <v>2083.3333333333335</v>
      </c>
      <c r="I118" s="65">
        <f t="shared" si="62"/>
        <v>2083.3333333333335</v>
      </c>
      <c r="J118" s="65">
        <f t="shared" si="62"/>
        <v>2083.3333333333335</v>
      </c>
      <c r="K118" s="65">
        <f t="shared" si="62"/>
        <v>2083.3333333333335</v>
      </c>
      <c r="L118" s="65">
        <f t="shared" si="62"/>
        <v>2083.3333333333335</v>
      </c>
      <c r="M118" s="65">
        <f t="shared" si="62"/>
        <v>2083.3333333333335</v>
      </c>
      <c r="N118" s="65">
        <f t="shared" si="62"/>
        <v>2083.3333333333335</v>
      </c>
      <c r="O118" s="65">
        <f t="shared" si="62"/>
        <v>2083.3333333333335</v>
      </c>
      <c r="P118" s="65">
        <f t="shared" si="62"/>
        <v>2083.3333333333335</v>
      </c>
      <c r="Q118" s="65">
        <f t="shared" si="62"/>
        <v>2083.3333333333335</v>
      </c>
      <c r="R118" s="58">
        <f t="shared" ref="R118" si="63">SUM(F118:Q118)</f>
        <v>24999.999999999996</v>
      </c>
      <c r="S118" s="58">
        <f t="shared" ref="S118" si="64">E118-R118</f>
        <v>0</v>
      </c>
      <c r="T118" s="107"/>
      <c r="V118" s="9"/>
    </row>
    <row r="119" spans="1:22">
      <c r="A119" s="45"/>
      <c r="B119" s="27" t="str">
        <f>'[4]5) Year 1-5 Staff Assumptions'!B75</f>
        <v>Other Compensation</v>
      </c>
      <c r="C119" s="45"/>
      <c r="D119" s="45"/>
      <c r="E119" s="82">
        <f>'6) Year 1 Budget'!E82</f>
        <v>0</v>
      </c>
      <c r="F119" s="65">
        <f t="shared" ref="F119:F121" si="65">$E119/12</f>
        <v>0</v>
      </c>
      <c r="G119" s="65">
        <f t="shared" si="62"/>
        <v>0</v>
      </c>
      <c r="H119" s="65">
        <f t="shared" si="62"/>
        <v>0</v>
      </c>
      <c r="I119" s="65">
        <f t="shared" si="62"/>
        <v>0</v>
      </c>
      <c r="J119" s="65">
        <f t="shared" si="62"/>
        <v>0</v>
      </c>
      <c r="K119" s="65">
        <f t="shared" si="62"/>
        <v>0</v>
      </c>
      <c r="L119" s="65">
        <f t="shared" si="62"/>
        <v>0</v>
      </c>
      <c r="M119" s="65">
        <f t="shared" si="62"/>
        <v>0</v>
      </c>
      <c r="N119" s="65">
        <f t="shared" si="62"/>
        <v>0</v>
      </c>
      <c r="O119" s="65">
        <f t="shared" si="62"/>
        <v>0</v>
      </c>
      <c r="P119" s="65">
        <f t="shared" si="62"/>
        <v>0</v>
      </c>
      <c r="Q119" s="65">
        <f t="shared" si="62"/>
        <v>0</v>
      </c>
      <c r="R119" s="58">
        <f>SUM(F119:Q119)</f>
        <v>0</v>
      </c>
      <c r="S119" s="58">
        <f>E119-R119</f>
        <v>0</v>
      </c>
      <c r="T119" s="107"/>
      <c r="V119" s="9"/>
    </row>
    <row r="120" spans="1:22">
      <c r="A120" s="45"/>
      <c r="B120" s="27" t="str">
        <f>'[4]5) Year 1-5 Staff Assumptions'!B76</f>
        <v>Other Compensation</v>
      </c>
      <c r="C120" s="45"/>
      <c r="D120" s="45"/>
      <c r="E120" s="82">
        <f>'6) Year 1 Budget'!E83</f>
        <v>39270</v>
      </c>
      <c r="F120" s="65">
        <f t="shared" si="65"/>
        <v>3272.5</v>
      </c>
      <c r="G120" s="65">
        <f t="shared" si="62"/>
        <v>3272.5</v>
      </c>
      <c r="H120" s="65">
        <f t="shared" si="62"/>
        <v>3272.5</v>
      </c>
      <c r="I120" s="65">
        <f t="shared" si="62"/>
        <v>3272.5</v>
      </c>
      <c r="J120" s="65">
        <f t="shared" si="62"/>
        <v>3272.5</v>
      </c>
      <c r="K120" s="65">
        <f t="shared" si="62"/>
        <v>3272.5</v>
      </c>
      <c r="L120" s="65">
        <f t="shared" si="62"/>
        <v>3272.5</v>
      </c>
      <c r="M120" s="65">
        <f t="shared" si="62"/>
        <v>3272.5</v>
      </c>
      <c r="N120" s="65">
        <f t="shared" si="62"/>
        <v>3272.5</v>
      </c>
      <c r="O120" s="65">
        <f t="shared" si="62"/>
        <v>3272.5</v>
      </c>
      <c r="P120" s="65">
        <f t="shared" si="62"/>
        <v>3272.5</v>
      </c>
      <c r="Q120" s="65">
        <f t="shared" si="62"/>
        <v>3272.5</v>
      </c>
      <c r="R120" s="58">
        <f>SUM(F120:Q120)</f>
        <v>39270</v>
      </c>
      <c r="S120" s="58">
        <f>E120-R120</f>
        <v>0</v>
      </c>
      <c r="T120" s="107"/>
      <c r="V120" s="9"/>
    </row>
    <row r="121" spans="1:22">
      <c r="A121" s="45"/>
      <c r="B121" s="27" t="str">
        <f>'[4]5) Year 1-5 Staff Assumptions'!B77</f>
        <v>Other Compensation</v>
      </c>
      <c r="C121" s="45"/>
      <c r="D121" s="45"/>
      <c r="E121" s="82">
        <f>'6) Year 1 Budget'!E84</f>
        <v>3100</v>
      </c>
      <c r="F121" s="65">
        <f t="shared" si="65"/>
        <v>258.33333333333331</v>
      </c>
      <c r="G121" s="65">
        <f t="shared" si="62"/>
        <v>258.33333333333331</v>
      </c>
      <c r="H121" s="65">
        <f t="shared" si="62"/>
        <v>258.33333333333331</v>
      </c>
      <c r="I121" s="65">
        <f t="shared" si="62"/>
        <v>258.33333333333331</v>
      </c>
      <c r="J121" s="65">
        <f t="shared" si="62"/>
        <v>258.33333333333331</v>
      </c>
      <c r="K121" s="65">
        <f t="shared" si="62"/>
        <v>258.33333333333331</v>
      </c>
      <c r="L121" s="65">
        <f t="shared" si="62"/>
        <v>258.33333333333331</v>
      </c>
      <c r="M121" s="65">
        <f t="shared" si="62"/>
        <v>258.33333333333331</v>
      </c>
      <c r="N121" s="65">
        <f t="shared" si="62"/>
        <v>258.33333333333331</v>
      </c>
      <c r="O121" s="65">
        <f t="shared" si="62"/>
        <v>258.33333333333331</v>
      </c>
      <c r="P121" s="65">
        <f t="shared" si="62"/>
        <v>258.33333333333331</v>
      </c>
      <c r="Q121" s="65">
        <f t="shared" si="62"/>
        <v>258.33333333333331</v>
      </c>
      <c r="R121" s="58">
        <f>SUM(F121:Q121)</f>
        <v>3100.0000000000005</v>
      </c>
      <c r="S121" s="58">
        <f>E121-R121</f>
        <v>0</v>
      </c>
      <c r="T121" s="107"/>
      <c r="V121" s="9"/>
    </row>
    <row r="122" spans="1:22">
      <c r="A122" s="45"/>
      <c r="B122" s="27"/>
      <c r="C122" s="45"/>
      <c r="D122" s="45"/>
      <c r="E122" s="77"/>
      <c r="F122" s="77"/>
      <c r="G122" s="77"/>
      <c r="H122" s="77"/>
      <c r="I122" s="77"/>
      <c r="J122" s="77"/>
      <c r="K122" s="77"/>
      <c r="L122" s="77"/>
      <c r="M122" s="77"/>
      <c r="N122" s="77"/>
      <c r="O122" s="77"/>
      <c r="P122" s="77"/>
      <c r="Q122" s="77"/>
      <c r="R122" s="77"/>
      <c r="S122" s="77"/>
      <c r="T122" s="107"/>
      <c r="V122" s="9"/>
    </row>
    <row r="123" spans="1:22" ht="15.75" thickBot="1">
      <c r="A123" s="45"/>
      <c r="B123" s="29" t="str">
        <f>'[4]5) Year 1-5 Staff Assumptions'!B79</f>
        <v>Total Compensation</v>
      </c>
      <c r="C123" s="42"/>
      <c r="D123" s="42"/>
      <c r="E123" s="54">
        <f>'6) Year 1 Budget'!E86</f>
        <v>1096812</v>
      </c>
      <c r="F123" s="54">
        <f>F100+F108+F116+SUM(F118:F121)</f>
        <v>91401</v>
      </c>
      <c r="G123" s="54">
        <f t="shared" ref="G123:S123" si="66">G100+G108+G116+SUM(G118:G121)</f>
        <v>91401</v>
      </c>
      <c r="H123" s="54">
        <f t="shared" si="66"/>
        <v>91401</v>
      </c>
      <c r="I123" s="54">
        <f t="shared" si="66"/>
        <v>91401</v>
      </c>
      <c r="J123" s="54">
        <f t="shared" si="66"/>
        <v>91401</v>
      </c>
      <c r="K123" s="54">
        <f t="shared" si="66"/>
        <v>91401</v>
      </c>
      <c r="L123" s="54">
        <f t="shared" si="66"/>
        <v>91401</v>
      </c>
      <c r="M123" s="54">
        <f t="shared" si="66"/>
        <v>91401</v>
      </c>
      <c r="N123" s="54">
        <f t="shared" si="66"/>
        <v>91401</v>
      </c>
      <c r="O123" s="54">
        <f t="shared" si="66"/>
        <v>91401</v>
      </c>
      <c r="P123" s="54">
        <f t="shared" si="66"/>
        <v>91401</v>
      </c>
      <c r="Q123" s="54">
        <f t="shared" si="66"/>
        <v>91401</v>
      </c>
      <c r="R123" s="54">
        <f t="shared" si="66"/>
        <v>1096812</v>
      </c>
      <c r="S123" s="54">
        <f t="shared" si="66"/>
        <v>0</v>
      </c>
      <c r="T123" s="55"/>
      <c r="V123" s="9"/>
    </row>
    <row r="124" spans="1:22" ht="15.75" thickTop="1">
      <c r="A124" s="45"/>
      <c r="B124" s="34"/>
      <c r="C124" s="45"/>
      <c r="D124" s="45"/>
      <c r="E124" s="85"/>
      <c r="F124" s="85"/>
      <c r="G124" s="85"/>
      <c r="H124" s="85"/>
      <c r="I124" s="85"/>
      <c r="J124" s="85"/>
      <c r="K124" s="85"/>
      <c r="L124" s="85"/>
      <c r="M124" s="85"/>
      <c r="N124" s="85"/>
      <c r="O124" s="85"/>
      <c r="P124" s="85"/>
      <c r="Q124" s="85"/>
      <c r="R124" s="85"/>
      <c r="S124" s="85"/>
      <c r="T124" s="85"/>
      <c r="V124" s="9"/>
    </row>
    <row r="125" spans="1:22">
      <c r="A125" s="45"/>
      <c r="B125" s="34"/>
      <c r="C125" s="45"/>
      <c r="D125" s="45"/>
      <c r="E125" s="85"/>
      <c r="F125" s="85"/>
      <c r="G125" s="85"/>
      <c r="H125" s="85"/>
      <c r="I125" s="85"/>
      <c r="J125" s="85"/>
      <c r="K125" s="85"/>
      <c r="L125" s="85"/>
      <c r="M125" s="85"/>
      <c r="N125" s="85"/>
      <c r="O125" s="85"/>
      <c r="P125" s="85"/>
      <c r="Q125" s="85"/>
      <c r="R125" s="85"/>
      <c r="S125" s="85"/>
      <c r="T125" s="85"/>
      <c r="V125" s="9"/>
    </row>
    <row r="126" spans="1:22" ht="14.85" customHeight="1">
      <c r="A126" s="45"/>
      <c r="B126" s="8"/>
      <c r="E126" s="783" t="s">
        <v>204</v>
      </c>
      <c r="F126" s="783"/>
      <c r="G126" s="783"/>
      <c r="H126" s="783"/>
      <c r="I126" s="783"/>
      <c r="J126" s="783"/>
      <c r="K126" s="783"/>
      <c r="L126" s="783"/>
      <c r="M126" s="783"/>
      <c r="N126" s="783"/>
      <c r="O126" s="783"/>
      <c r="P126" s="783"/>
      <c r="Q126" s="783"/>
      <c r="R126" s="783"/>
      <c r="S126" s="783"/>
      <c r="T126" s="85"/>
      <c r="V126" s="9"/>
    </row>
    <row r="127" spans="1:22" ht="14.85" customHeight="1">
      <c r="A127" s="45"/>
      <c r="B127" s="8"/>
      <c r="T127" s="85"/>
      <c r="V127" s="9"/>
    </row>
    <row r="128" spans="1:22">
      <c r="A128" s="45"/>
      <c r="B128" s="8"/>
      <c r="E128" s="83" t="str">
        <f>E90</f>
        <v>Year 1</v>
      </c>
      <c r="F128" s="83" t="str">
        <f t="shared" ref="F128:S128" si="67">F90</f>
        <v>Year 1</v>
      </c>
      <c r="G128" s="83" t="str">
        <f t="shared" si="67"/>
        <v>Year 1</v>
      </c>
      <c r="H128" s="83" t="str">
        <f t="shared" si="67"/>
        <v>Year 1</v>
      </c>
      <c r="I128" s="83" t="str">
        <f t="shared" si="67"/>
        <v>Year 1</v>
      </c>
      <c r="J128" s="83" t="str">
        <f t="shared" si="67"/>
        <v>Year 1</v>
      </c>
      <c r="K128" s="83" t="str">
        <f t="shared" si="67"/>
        <v>Year 1</v>
      </c>
      <c r="L128" s="83" t="str">
        <f t="shared" si="67"/>
        <v>Year 1</v>
      </c>
      <c r="M128" s="83" t="str">
        <f t="shared" si="67"/>
        <v>Year 1</v>
      </c>
      <c r="N128" s="83" t="str">
        <f t="shared" si="67"/>
        <v>Year 1</v>
      </c>
      <c r="O128" s="83" t="str">
        <f t="shared" si="67"/>
        <v>Year 1</v>
      </c>
      <c r="P128" s="83" t="str">
        <f t="shared" si="67"/>
        <v>Year 1</v>
      </c>
      <c r="Q128" s="83" t="str">
        <f t="shared" si="67"/>
        <v>Year 1</v>
      </c>
      <c r="R128" s="83" t="str">
        <f t="shared" si="67"/>
        <v>Year 1</v>
      </c>
      <c r="S128" s="83" t="str">
        <f t="shared" si="67"/>
        <v>Year 1</v>
      </c>
      <c r="T128" s="73"/>
      <c r="V128" s="9"/>
    </row>
    <row r="129" spans="1:22">
      <c r="A129" s="45"/>
      <c r="B129" s="34"/>
      <c r="C129" s="42"/>
      <c r="D129" s="2"/>
      <c r="E129" s="88" t="str">
        <f t="shared" ref="E129:S130" si="68">E91</f>
        <v>2024-25</v>
      </c>
      <c r="F129" s="88" t="str">
        <f t="shared" si="68"/>
        <v>2024-25</v>
      </c>
      <c r="G129" s="88" t="str">
        <f t="shared" si="68"/>
        <v>2024-25</v>
      </c>
      <c r="H129" s="88" t="str">
        <f t="shared" si="68"/>
        <v>2024-25</v>
      </c>
      <c r="I129" s="88" t="str">
        <f t="shared" si="68"/>
        <v>2024-25</v>
      </c>
      <c r="J129" s="88" t="str">
        <f t="shared" si="68"/>
        <v>2024-25</v>
      </c>
      <c r="K129" s="88" t="str">
        <f t="shared" si="68"/>
        <v>2024-25</v>
      </c>
      <c r="L129" s="88" t="str">
        <f t="shared" si="68"/>
        <v>2024-25</v>
      </c>
      <c r="M129" s="88" t="str">
        <f t="shared" si="68"/>
        <v>2024-25</v>
      </c>
      <c r="N129" s="88" t="str">
        <f t="shared" si="68"/>
        <v>2024-25</v>
      </c>
      <c r="O129" s="88" t="str">
        <f t="shared" si="68"/>
        <v>2024-25</v>
      </c>
      <c r="P129" s="88" t="str">
        <f t="shared" si="68"/>
        <v>2024-25</v>
      </c>
      <c r="Q129" s="88" t="str">
        <f t="shared" si="68"/>
        <v>2024-25</v>
      </c>
      <c r="R129" s="88" t="str">
        <f t="shared" si="68"/>
        <v>2024-25</v>
      </c>
      <c r="S129" s="88" t="str">
        <f t="shared" si="68"/>
        <v>2024-25</v>
      </c>
      <c r="T129" s="85"/>
      <c r="V129" s="9"/>
    </row>
    <row r="130" spans="1:22">
      <c r="A130" s="45"/>
      <c r="B130" s="34"/>
      <c r="C130" s="42"/>
      <c r="D130" s="2"/>
      <c r="E130" s="88" t="str">
        <f t="shared" si="68"/>
        <v>Total Budget</v>
      </c>
      <c r="F130" s="88" t="str">
        <f t="shared" si="68"/>
        <v>July</v>
      </c>
      <c r="G130" s="88" t="str">
        <f t="shared" si="68"/>
        <v>August</v>
      </c>
      <c r="H130" s="88" t="str">
        <f t="shared" si="68"/>
        <v>September</v>
      </c>
      <c r="I130" s="88" t="str">
        <f t="shared" si="68"/>
        <v>October</v>
      </c>
      <c r="J130" s="88" t="str">
        <f t="shared" si="68"/>
        <v>November</v>
      </c>
      <c r="K130" s="88" t="str">
        <f t="shared" si="68"/>
        <v>December</v>
      </c>
      <c r="L130" s="88" t="str">
        <f t="shared" si="68"/>
        <v>January</v>
      </c>
      <c r="M130" s="88" t="str">
        <f t="shared" si="68"/>
        <v>February</v>
      </c>
      <c r="N130" s="88" t="str">
        <f t="shared" si="68"/>
        <v>March</v>
      </c>
      <c r="O130" s="88" t="str">
        <f t="shared" si="68"/>
        <v>April</v>
      </c>
      <c r="P130" s="88" t="str">
        <f t="shared" si="68"/>
        <v>May</v>
      </c>
      <c r="Q130" s="88" t="str">
        <f t="shared" si="68"/>
        <v>June</v>
      </c>
      <c r="R130" s="88" t="str">
        <f t="shared" si="68"/>
        <v>Total</v>
      </c>
      <c r="S130" s="88" t="str">
        <f t="shared" si="68"/>
        <v>AR/AP</v>
      </c>
      <c r="T130" s="85"/>
      <c r="V130" s="9"/>
    </row>
    <row r="131" spans="1:22">
      <c r="A131" s="45"/>
      <c r="B131" s="34"/>
      <c r="C131" s="42"/>
      <c r="D131" s="2"/>
      <c r="E131" s="85"/>
      <c r="F131" s="85"/>
      <c r="G131" s="85"/>
      <c r="H131" s="85"/>
      <c r="I131" s="85"/>
      <c r="J131" s="85"/>
      <c r="K131" s="85"/>
      <c r="L131" s="85"/>
      <c r="M131" s="85"/>
      <c r="N131" s="85"/>
      <c r="O131" s="85"/>
      <c r="P131" s="85"/>
      <c r="Q131" s="85"/>
      <c r="R131" s="85"/>
      <c r="S131" s="85"/>
      <c r="T131" s="47" t="s">
        <v>91</v>
      </c>
      <c r="V131" s="9"/>
    </row>
    <row r="132" spans="1:22">
      <c r="A132" s="45"/>
      <c r="B132" s="34" t="str">
        <f>'[4]5) Year 1-5 Staff Assumptions'!B86</f>
        <v xml:space="preserve">Social Security </v>
      </c>
      <c r="C132" s="45"/>
      <c r="D132" s="45"/>
      <c r="E132" s="629">
        <f>'6) Year 1 Budget'!E95</f>
        <v>68002.343999999997</v>
      </c>
      <c r="F132" s="65">
        <f>$E132/12</f>
        <v>5666.8620000000001</v>
      </c>
      <c r="G132" s="65">
        <f t="shared" ref="G132:Q146" si="69">$E132/12</f>
        <v>5666.8620000000001</v>
      </c>
      <c r="H132" s="65">
        <f t="shared" si="69"/>
        <v>5666.8620000000001</v>
      </c>
      <c r="I132" s="65">
        <f t="shared" si="69"/>
        <v>5666.8620000000001</v>
      </c>
      <c r="J132" s="65">
        <f t="shared" si="69"/>
        <v>5666.8620000000001</v>
      </c>
      <c r="K132" s="65">
        <f t="shared" si="69"/>
        <v>5666.8620000000001</v>
      </c>
      <c r="L132" s="65">
        <f t="shared" si="69"/>
        <v>5666.8620000000001</v>
      </c>
      <c r="M132" s="65">
        <f t="shared" si="69"/>
        <v>5666.8620000000001</v>
      </c>
      <c r="N132" s="65">
        <f t="shared" si="69"/>
        <v>5666.8620000000001</v>
      </c>
      <c r="O132" s="65">
        <f t="shared" si="69"/>
        <v>5666.8620000000001</v>
      </c>
      <c r="P132" s="65">
        <f t="shared" si="69"/>
        <v>5666.8620000000001</v>
      </c>
      <c r="Q132" s="65">
        <f t="shared" si="69"/>
        <v>5666.8620000000001</v>
      </c>
      <c r="R132" s="58">
        <f>SUM(F132:Q132)</f>
        <v>68002.343999999997</v>
      </c>
      <c r="S132" s="58">
        <f>E132-R132</f>
        <v>0</v>
      </c>
      <c r="T132" s="107"/>
      <c r="V132" s="9"/>
    </row>
    <row r="133" spans="1:22">
      <c r="A133" s="45"/>
      <c r="B133" s="34" t="str">
        <f>'[4]5) Year 1-5 Staff Assumptions'!B87</f>
        <v>Medicare</v>
      </c>
      <c r="C133" s="45"/>
      <c r="D133" s="45"/>
      <c r="E133" s="629">
        <f>'6) Year 1 Budget'!E96</f>
        <v>15903.774000000001</v>
      </c>
      <c r="F133" s="65">
        <f t="shared" ref="F133:F146" si="70">$E133/12</f>
        <v>1325.3145000000002</v>
      </c>
      <c r="G133" s="65">
        <f t="shared" si="69"/>
        <v>1325.3145000000002</v>
      </c>
      <c r="H133" s="65">
        <f t="shared" si="69"/>
        <v>1325.3145000000002</v>
      </c>
      <c r="I133" s="65">
        <f t="shared" si="69"/>
        <v>1325.3145000000002</v>
      </c>
      <c r="J133" s="65">
        <f t="shared" si="69"/>
        <v>1325.3145000000002</v>
      </c>
      <c r="K133" s="65">
        <f t="shared" si="69"/>
        <v>1325.3145000000002</v>
      </c>
      <c r="L133" s="65">
        <f t="shared" si="69"/>
        <v>1325.3145000000002</v>
      </c>
      <c r="M133" s="65">
        <f t="shared" si="69"/>
        <v>1325.3145000000002</v>
      </c>
      <c r="N133" s="65">
        <f t="shared" si="69"/>
        <v>1325.3145000000002</v>
      </c>
      <c r="O133" s="65">
        <f t="shared" si="69"/>
        <v>1325.3145000000002</v>
      </c>
      <c r="P133" s="65">
        <f t="shared" si="69"/>
        <v>1325.3145000000002</v>
      </c>
      <c r="Q133" s="65">
        <f t="shared" si="69"/>
        <v>1325.3145000000002</v>
      </c>
      <c r="R133" s="58">
        <f>SUM(F133:Q133)</f>
        <v>15903.774000000003</v>
      </c>
      <c r="S133" s="58">
        <f>E133-R133</f>
        <v>0</v>
      </c>
      <c r="T133" s="107"/>
      <c r="V133" s="9"/>
    </row>
    <row r="134" spans="1:22">
      <c r="A134" s="45"/>
      <c r="B134" s="34" t="str">
        <f>'[4]5) Year 1-5 Staff Assumptions'!B88</f>
        <v>State Unemployment</v>
      </c>
      <c r="C134" s="45"/>
      <c r="D134" s="45"/>
      <c r="E134" s="629">
        <f>'6) Year 1 Budget'!E97</f>
        <v>9200</v>
      </c>
      <c r="F134" s="65">
        <f t="shared" si="70"/>
        <v>766.66666666666663</v>
      </c>
      <c r="G134" s="65">
        <f t="shared" si="69"/>
        <v>766.66666666666663</v>
      </c>
      <c r="H134" s="65">
        <f t="shared" si="69"/>
        <v>766.66666666666663</v>
      </c>
      <c r="I134" s="65">
        <f t="shared" si="69"/>
        <v>766.66666666666663</v>
      </c>
      <c r="J134" s="65">
        <f t="shared" si="69"/>
        <v>766.66666666666663</v>
      </c>
      <c r="K134" s="65">
        <f t="shared" si="69"/>
        <v>766.66666666666663</v>
      </c>
      <c r="L134" s="65">
        <f t="shared" si="69"/>
        <v>766.66666666666663</v>
      </c>
      <c r="M134" s="65">
        <f t="shared" si="69"/>
        <v>766.66666666666663</v>
      </c>
      <c r="N134" s="65">
        <f t="shared" si="69"/>
        <v>766.66666666666663</v>
      </c>
      <c r="O134" s="65">
        <f t="shared" si="69"/>
        <v>766.66666666666663</v>
      </c>
      <c r="P134" s="65">
        <f t="shared" si="69"/>
        <v>766.66666666666663</v>
      </c>
      <c r="Q134" s="65">
        <f t="shared" si="69"/>
        <v>766.66666666666663</v>
      </c>
      <c r="R134" s="58">
        <f>SUM(F134:Q134)</f>
        <v>9200</v>
      </c>
      <c r="S134" s="58">
        <f>E134-R134</f>
        <v>0</v>
      </c>
      <c r="T134" s="107"/>
      <c r="V134" s="9"/>
    </row>
    <row r="135" spans="1:22">
      <c r="A135" s="45"/>
      <c r="B135" s="34" t="str">
        <f>'[4]5) Year 1-5 Staff Assumptions'!B89</f>
        <v>Disability/Life Insurance</v>
      </c>
      <c r="C135" s="45"/>
      <c r="D135" s="45"/>
      <c r="E135" s="629">
        <f>'6) Year 1 Budget'!E98</f>
        <v>3619.4796000000001</v>
      </c>
      <c r="F135" s="65">
        <f t="shared" si="70"/>
        <v>301.62330000000003</v>
      </c>
      <c r="G135" s="65">
        <f t="shared" si="69"/>
        <v>301.62330000000003</v>
      </c>
      <c r="H135" s="65">
        <f t="shared" si="69"/>
        <v>301.62330000000003</v>
      </c>
      <c r="I135" s="65">
        <f t="shared" si="69"/>
        <v>301.62330000000003</v>
      </c>
      <c r="J135" s="65">
        <f t="shared" si="69"/>
        <v>301.62330000000003</v>
      </c>
      <c r="K135" s="65">
        <f t="shared" si="69"/>
        <v>301.62330000000003</v>
      </c>
      <c r="L135" s="65">
        <f t="shared" si="69"/>
        <v>301.62330000000003</v>
      </c>
      <c r="M135" s="65">
        <f t="shared" si="69"/>
        <v>301.62330000000003</v>
      </c>
      <c r="N135" s="65">
        <f t="shared" si="69"/>
        <v>301.62330000000003</v>
      </c>
      <c r="O135" s="65">
        <f t="shared" si="69"/>
        <v>301.62330000000003</v>
      </c>
      <c r="P135" s="65">
        <f t="shared" si="69"/>
        <v>301.62330000000003</v>
      </c>
      <c r="Q135" s="65">
        <f t="shared" si="69"/>
        <v>301.62330000000003</v>
      </c>
      <c r="R135" s="58">
        <f t="shared" ref="R135:R146" si="71">SUM(F135:Q135)</f>
        <v>3619.479600000001</v>
      </c>
      <c r="S135" s="58">
        <f t="shared" ref="S135:S146" si="72">E135-R135</f>
        <v>0</v>
      </c>
      <c r="T135" s="107"/>
      <c r="V135" s="9"/>
    </row>
    <row r="136" spans="1:22">
      <c r="A136" s="45"/>
      <c r="B136" s="34" t="str">
        <f>'[4]5) Year 1-5 Staff Assumptions'!B90</f>
        <v>Workers Compensation Insurance</v>
      </c>
      <c r="C136" s="45"/>
      <c r="D136" s="45"/>
      <c r="E136" s="629">
        <f>'6) Year 1 Budget'!E99</f>
        <v>3729.1607999999997</v>
      </c>
      <c r="F136" s="65">
        <f t="shared" si="70"/>
        <v>310.76339999999999</v>
      </c>
      <c r="G136" s="65">
        <f t="shared" si="69"/>
        <v>310.76339999999999</v>
      </c>
      <c r="H136" s="65">
        <f t="shared" si="69"/>
        <v>310.76339999999999</v>
      </c>
      <c r="I136" s="65">
        <f t="shared" si="69"/>
        <v>310.76339999999999</v>
      </c>
      <c r="J136" s="65">
        <f t="shared" si="69"/>
        <v>310.76339999999999</v>
      </c>
      <c r="K136" s="65">
        <f t="shared" si="69"/>
        <v>310.76339999999999</v>
      </c>
      <c r="L136" s="65">
        <f t="shared" si="69"/>
        <v>310.76339999999999</v>
      </c>
      <c r="M136" s="65">
        <f t="shared" si="69"/>
        <v>310.76339999999999</v>
      </c>
      <c r="N136" s="65">
        <f t="shared" si="69"/>
        <v>310.76339999999999</v>
      </c>
      <c r="O136" s="65">
        <f t="shared" si="69"/>
        <v>310.76339999999999</v>
      </c>
      <c r="P136" s="65">
        <f t="shared" si="69"/>
        <v>310.76339999999999</v>
      </c>
      <c r="Q136" s="65">
        <f t="shared" si="69"/>
        <v>310.76339999999999</v>
      </c>
      <c r="R136" s="58">
        <f t="shared" si="71"/>
        <v>3729.1607999999992</v>
      </c>
      <c r="S136" s="58">
        <f t="shared" si="72"/>
        <v>0</v>
      </c>
      <c r="T136" s="107"/>
      <c r="V136" s="9"/>
    </row>
    <row r="137" spans="1:22">
      <c r="A137" s="45"/>
      <c r="B137" s="34" t="str">
        <f>'[4]5) Year 1-5 Staff Assumptions'!B91</f>
        <v>Other Fringe Benefits</v>
      </c>
      <c r="C137" s="45"/>
      <c r="D137" s="45"/>
      <c r="E137" s="629">
        <f>'6) Year 1 Budget'!E100</f>
        <v>0</v>
      </c>
      <c r="F137" s="65">
        <f t="shared" si="70"/>
        <v>0</v>
      </c>
      <c r="G137" s="65">
        <f t="shared" si="69"/>
        <v>0</v>
      </c>
      <c r="H137" s="65">
        <f t="shared" si="69"/>
        <v>0</v>
      </c>
      <c r="I137" s="65">
        <f t="shared" si="69"/>
        <v>0</v>
      </c>
      <c r="J137" s="65">
        <f t="shared" si="69"/>
        <v>0</v>
      </c>
      <c r="K137" s="65">
        <f t="shared" si="69"/>
        <v>0</v>
      </c>
      <c r="L137" s="65">
        <f t="shared" si="69"/>
        <v>0</v>
      </c>
      <c r="M137" s="65">
        <f t="shared" si="69"/>
        <v>0</v>
      </c>
      <c r="N137" s="65">
        <f t="shared" si="69"/>
        <v>0</v>
      </c>
      <c r="O137" s="65">
        <f t="shared" si="69"/>
        <v>0</v>
      </c>
      <c r="P137" s="65">
        <f t="shared" si="69"/>
        <v>0</v>
      </c>
      <c r="Q137" s="65">
        <f t="shared" si="69"/>
        <v>0</v>
      </c>
      <c r="R137" s="58">
        <f t="shared" si="71"/>
        <v>0</v>
      </c>
      <c r="S137" s="58">
        <f t="shared" si="72"/>
        <v>0</v>
      </c>
      <c r="T137" s="107"/>
      <c r="V137" s="9"/>
    </row>
    <row r="138" spans="1:22">
      <c r="A138" s="45"/>
      <c r="B138" s="34" t="str">
        <f>'[4]5) Year 1-5 Staff Assumptions'!B96</f>
        <v>Medical Insurance</v>
      </c>
      <c r="C138" s="45"/>
      <c r="D138" s="45"/>
      <c r="E138" s="629">
        <f>'6) Year 1 Budget'!E101</f>
        <v>166267</v>
      </c>
      <c r="F138" s="65">
        <f t="shared" si="70"/>
        <v>13855.583333333334</v>
      </c>
      <c r="G138" s="65">
        <f t="shared" si="69"/>
        <v>13855.583333333334</v>
      </c>
      <c r="H138" s="65">
        <f t="shared" si="69"/>
        <v>13855.583333333334</v>
      </c>
      <c r="I138" s="65">
        <f t="shared" si="69"/>
        <v>13855.583333333334</v>
      </c>
      <c r="J138" s="65">
        <f t="shared" si="69"/>
        <v>13855.583333333334</v>
      </c>
      <c r="K138" s="65">
        <f t="shared" si="69"/>
        <v>13855.583333333334</v>
      </c>
      <c r="L138" s="65">
        <f t="shared" si="69"/>
        <v>13855.583333333334</v>
      </c>
      <c r="M138" s="65">
        <f t="shared" si="69"/>
        <v>13855.583333333334</v>
      </c>
      <c r="N138" s="65">
        <f t="shared" si="69"/>
        <v>13855.583333333334</v>
      </c>
      <c r="O138" s="65">
        <f t="shared" si="69"/>
        <v>13855.583333333334</v>
      </c>
      <c r="P138" s="65">
        <f t="shared" si="69"/>
        <v>13855.583333333334</v>
      </c>
      <c r="Q138" s="65">
        <f t="shared" si="69"/>
        <v>13855.583333333334</v>
      </c>
      <c r="R138" s="58">
        <f t="shared" si="71"/>
        <v>166267</v>
      </c>
      <c r="S138" s="58">
        <f t="shared" si="72"/>
        <v>0</v>
      </c>
      <c r="T138" s="107"/>
      <c r="V138" s="9"/>
    </row>
    <row r="139" spans="1:22">
      <c r="A139" s="45"/>
      <c r="B139" s="34" t="str">
        <f>'[4]5) Year 1-5 Staff Assumptions'!B97</f>
        <v>Dental Insurance</v>
      </c>
      <c r="C139" s="45"/>
      <c r="D139" s="45"/>
      <c r="E139" s="629">
        <f>'6) Year 1 Budget'!E102</f>
        <v>12535</v>
      </c>
      <c r="F139" s="65">
        <f t="shared" si="70"/>
        <v>1044.5833333333333</v>
      </c>
      <c r="G139" s="65">
        <f t="shared" si="69"/>
        <v>1044.5833333333333</v>
      </c>
      <c r="H139" s="65">
        <f t="shared" si="69"/>
        <v>1044.5833333333333</v>
      </c>
      <c r="I139" s="65">
        <f t="shared" si="69"/>
        <v>1044.5833333333333</v>
      </c>
      <c r="J139" s="65">
        <f t="shared" si="69"/>
        <v>1044.5833333333333</v>
      </c>
      <c r="K139" s="65">
        <f t="shared" si="69"/>
        <v>1044.5833333333333</v>
      </c>
      <c r="L139" s="65">
        <f t="shared" si="69"/>
        <v>1044.5833333333333</v>
      </c>
      <c r="M139" s="65">
        <f t="shared" si="69"/>
        <v>1044.5833333333333</v>
      </c>
      <c r="N139" s="65">
        <f t="shared" si="69"/>
        <v>1044.5833333333333</v>
      </c>
      <c r="O139" s="65">
        <f t="shared" si="69"/>
        <v>1044.5833333333333</v>
      </c>
      <c r="P139" s="65">
        <f t="shared" si="69"/>
        <v>1044.5833333333333</v>
      </c>
      <c r="Q139" s="65">
        <f t="shared" si="69"/>
        <v>1044.5833333333333</v>
      </c>
      <c r="R139" s="58">
        <f t="shared" si="71"/>
        <v>12535.000000000002</v>
      </c>
      <c r="S139" s="58">
        <f t="shared" si="72"/>
        <v>0</v>
      </c>
      <c r="T139" s="107"/>
      <c r="V139" s="9"/>
    </row>
    <row r="140" spans="1:22">
      <c r="A140" s="45"/>
      <c r="B140" s="34" t="str">
        <f>'[4]5) Year 1-5 Staff Assumptions'!B98</f>
        <v>Vision Insurance</v>
      </c>
      <c r="C140" s="45"/>
      <c r="D140" s="45"/>
      <c r="E140" s="629">
        <f>'6) Year 1 Budget'!E103</f>
        <v>0</v>
      </c>
      <c r="F140" s="65">
        <f t="shared" si="70"/>
        <v>0</v>
      </c>
      <c r="G140" s="65">
        <f t="shared" si="69"/>
        <v>0</v>
      </c>
      <c r="H140" s="65">
        <f t="shared" si="69"/>
        <v>0</v>
      </c>
      <c r="I140" s="65">
        <f t="shared" si="69"/>
        <v>0</v>
      </c>
      <c r="J140" s="65">
        <f t="shared" si="69"/>
        <v>0</v>
      </c>
      <c r="K140" s="65">
        <f t="shared" si="69"/>
        <v>0</v>
      </c>
      <c r="L140" s="65">
        <f t="shared" si="69"/>
        <v>0</v>
      </c>
      <c r="M140" s="65">
        <f t="shared" si="69"/>
        <v>0</v>
      </c>
      <c r="N140" s="65">
        <f t="shared" si="69"/>
        <v>0</v>
      </c>
      <c r="O140" s="65">
        <f t="shared" si="69"/>
        <v>0</v>
      </c>
      <c r="P140" s="65">
        <f t="shared" si="69"/>
        <v>0</v>
      </c>
      <c r="Q140" s="65">
        <f t="shared" si="69"/>
        <v>0</v>
      </c>
      <c r="R140" s="58">
        <f t="shared" si="71"/>
        <v>0</v>
      </c>
      <c r="S140" s="58">
        <f t="shared" si="72"/>
        <v>0</v>
      </c>
      <c r="T140" s="107"/>
      <c r="V140" s="9"/>
    </row>
    <row r="141" spans="1:22">
      <c r="A141" s="45"/>
      <c r="B141" s="34" t="str">
        <f>'[4]5) Year 1-5 Staff Assumptions'!B100</f>
        <v>TCRS Certified Legacy</v>
      </c>
      <c r="C141" s="45"/>
      <c r="D141" s="45"/>
      <c r="E141" s="629">
        <f>'6) Year 1 Budget'!E104</f>
        <v>0</v>
      </c>
      <c r="F141" s="65">
        <f t="shared" si="70"/>
        <v>0</v>
      </c>
      <c r="G141" s="65">
        <f t="shared" si="69"/>
        <v>0</v>
      </c>
      <c r="H141" s="65">
        <f t="shared" si="69"/>
        <v>0</v>
      </c>
      <c r="I141" s="65">
        <f t="shared" si="69"/>
        <v>0</v>
      </c>
      <c r="J141" s="65">
        <f t="shared" si="69"/>
        <v>0</v>
      </c>
      <c r="K141" s="65">
        <f t="shared" si="69"/>
        <v>0</v>
      </c>
      <c r="L141" s="65">
        <f t="shared" si="69"/>
        <v>0</v>
      </c>
      <c r="M141" s="65">
        <f t="shared" si="69"/>
        <v>0</v>
      </c>
      <c r="N141" s="65">
        <f t="shared" si="69"/>
        <v>0</v>
      </c>
      <c r="O141" s="65">
        <f t="shared" si="69"/>
        <v>0</v>
      </c>
      <c r="P141" s="65">
        <f t="shared" si="69"/>
        <v>0</v>
      </c>
      <c r="Q141" s="65">
        <f t="shared" si="69"/>
        <v>0</v>
      </c>
      <c r="R141" s="58">
        <f t="shared" si="71"/>
        <v>0</v>
      </c>
      <c r="S141" s="58">
        <f t="shared" si="72"/>
        <v>0</v>
      </c>
      <c r="T141" s="107"/>
      <c r="V141" s="9"/>
    </row>
    <row r="142" spans="1:22">
      <c r="A142" s="45"/>
      <c r="B142" s="34" t="str">
        <f>'[4]5) Year 1-5 Staff Assumptions'!B101</f>
        <v>TCRS Certified Hybrid</v>
      </c>
      <c r="C142" s="45"/>
      <c r="D142" s="45"/>
      <c r="E142" s="629">
        <f>'6) Year 1 Budget'!E105</f>
        <v>98713.08</v>
      </c>
      <c r="F142" s="65">
        <f t="shared" si="70"/>
        <v>8226.09</v>
      </c>
      <c r="G142" s="65">
        <f t="shared" si="69"/>
        <v>8226.09</v>
      </c>
      <c r="H142" s="65">
        <f t="shared" si="69"/>
        <v>8226.09</v>
      </c>
      <c r="I142" s="65">
        <f t="shared" si="69"/>
        <v>8226.09</v>
      </c>
      <c r="J142" s="65">
        <f t="shared" si="69"/>
        <v>8226.09</v>
      </c>
      <c r="K142" s="65">
        <f t="shared" si="69"/>
        <v>8226.09</v>
      </c>
      <c r="L142" s="65">
        <f t="shared" si="69"/>
        <v>8226.09</v>
      </c>
      <c r="M142" s="65">
        <f t="shared" si="69"/>
        <v>8226.09</v>
      </c>
      <c r="N142" s="65">
        <f t="shared" si="69"/>
        <v>8226.09</v>
      </c>
      <c r="O142" s="65">
        <f t="shared" si="69"/>
        <v>8226.09</v>
      </c>
      <c r="P142" s="65">
        <f t="shared" si="69"/>
        <v>8226.09</v>
      </c>
      <c r="Q142" s="65">
        <f t="shared" si="69"/>
        <v>8226.09</v>
      </c>
      <c r="R142" s="58">
        <f t="shared" ref="R142:R144" si="73">SUM(F142:Q142)</f>
        <v>98713.079999999973</v>
      </c>
      <c r="S142" s="58">
        <f t="shared" ref="S142:S144" si="74">E142-R142</f>
        <v>0</v>
      </c>
      <c r="T142" s="107"/>
      <c r="V142" s="9"/>
    </row>
    <row r="143" spans="1:22">
      <c r="A143" s="45"/>
      <c r="B143" s="34" t="str">
        <f>'[4]5) Year 1-5 Staff Assumptions'!B102</f>
        <v>TCRS Classified Legacy</v>
      </c>
      <c r="C143" s="45"/>
      <c r="D143" s="45"/>
      <c r="E143" s="629">
        <f>'6) Year 1 Budget'!E106</f>
        <v>0</v>
      </c>
      <c r="F143" s="65">
        <f t="shared" si="70"/>
        <v>0</v>
      </c>
      <c r="G143" s="65">
        <f t="shared" si="69"/>
        <v>0</v>
      </c>
      <c r="H143" s="65">
        <f t="shared" si="69"/>
        <v>0</v>
      </c>
      <c r="I143" s="65">
        <f t="shared" si="69"/>
        <v>0</v>
      </c>
      <c r="J143" s="65">
        <f t="shared" si="69"/>
        <v>0</v>
      </c>
      <c r="K143" s="65">
        <f t="shared" si="69"/>
        <v>0</v>
      </c>
      <c r="L143" s="65">
        <f t="shared" si="69"/>
        <v>0</v>
      </c>
      <c r="M143" s="65">
        <f t="shared" si="69"/>
        <v>0</v>
      </c>
      <c r="N143" s="65">
        <f t="shared" si="69"/>
        <v>0</v>
      </c>
      <c r="O143" s="65">
        <f t="shared" si="69"/>
        <v>0</v>
      </c>
      <c r="P143" s="65">
        <f t="shared" si="69"/>
        <v>0</v>
      </c>
      <c r="Q143" s="65">
        <f t="shared" si="69"/>
        <v>0</v>
      </c>
      <c r="R143" s="58">
        <f t="shared" si="73"/>
        <v>0</v>
      </c>
      <c r="S143" s="58">
        <f t="shared" si="74"/>
        <v>0</v>
      </c>
      <c r="T143" s="107"/>
      <c r="V143" s="9"/>
    </row>
    <row r="144" spans="1:22">
      <c r="A144" s="45"/>
      <c r="B144" s="34" t="str">
        <f>'[4]5) Year 1-5 Staff Assumptions'!B103</f>
        <v>TCRS Classified Hybrid</v>
      </c>
      <c r="C144" s="45"/>
      <c r="D144" s="45"/>
      <c r="E144" s="629">
        <f>'6) Year 1 Budget'!E107</f>
        <v>0</v>
      </c>
      <c r="F144" s="65">
        <f t="shared" si="70"/>
        <v>0</v>
      </c>
      <c r="G144" s="65">
        <f t="shared" si="69"/>
        <v>0</v>
      </c>
      <c r="H144" s="65">
        <f t="shared" si="69"/>
        <v>0</v>
      </c>
      <c r="I144" s="65">
        <f t="shared" si="69"/>
        <v>0</v>
      </c>
      <c r="J144" s="65">
        <f t="shared" si="69"/>
        <v>0</v>
      </c>
      <c r="K144" s="65">
        <f t="shared" si="69"/>
        <v>0</v>
      </c>
      <c r="L144" s="65">
        <f t="shared" si="69"/>
        <v>0</v>
      </c>
      <c r="M144" s="65">
        <f t="shared" si="69"/>
        <v>0</v>
      </c>
      <c r="N144" s="65">
        <f t="shared" si="69"/>
        <v>0</v>
      </c>
      <c r="O144" s="65">
        <f t="shared" si="69"/>
        <v>0</v>
      </c>
      <c r="P144" s="65">
        <f t="shared" si="69"/>
        <v>0</v>
      </c>
      <c r="Q144" s="65">
        <f t="shared" si="69"/>
        <v>0</v>
      </c>
      <c r="R144" s="58">
        <f t="shared" si="73"/>
        <v>0</v>
      </c>
      <c r="S144" s="58">
        <f t="shared" si="74"/>
        <v>0</v>
      </c>
      <c r="T144" s="107"/>
      <c r="V144" s="9"/>
    </row>
    <row r="145" spans="1:22">
      <c r="A145" s="45"/>
      <c r="B145" s="34" t="str">
        <f>'[4]5) Year 1-5 Staff Assumptions'!B104</f>
        <v>Other Classified Retirement</v>
      </c>
      <c r="C145" s="45"/>
      <c r="D145" s="45"/>
      <c r="E145" s="629">
        <f>'6) Year 1 Budget'!E108</f>
        <v>0</v>
      </c>
      <c r="F145" s="65">
        <f t="shared" si="70"/>
        <v>0</v>
      </c>
      <c r="G145" s="65">
        <f t="shared" si="69"/>
        <v>0</v>
      </c>
      <c r="H145" s="65">
        <f t="shared" si="69"/>
        <v>0</v>
      </c>
      <c r="I145" s="65">
        <f t="shared" si="69"/>
        <v>0</v>
      </c>
      <c r="J145" s="65">
        <f t="shared" si="69"/>
        <v>0</v>
      </c>
      <c r="K145" s="65">
        <f t="shared" si="69"/>
        <v>0</v>
      </c>
      <c r="L145" s="65">
        <f t="shared" si="69"/>
        <v>0</v>
      </c>
      <c r="M145" s="65">
        <f t="shared" si="69"/>
        <v>0</v>
      </c>
      <c r="N145" s="65">
        <f t="shared" si="69"/>
        <v>0</v>
      </c>
      <c r="O145" s="65">
        <f t="shared" si="69"/>
        <v>0</v>
      </c>
      <c r="P145" s="65">
        <f t="shared" si="69"/>
        <v>0</v>
      </c>
      <c r="Q145" s="65">
        <f t="shared" si="69"/>
        <v>0</v>
      </c>
      <c r="R145" s="58">
        <f t="shared" si="71"/>
        <v>0</v>
      </c>
      <c r="S145" s="58">
        <f t="shared" si="72"/>
        <v>0</v>
      </c>
      <c r="T145" s="107"/>
      <c r="V145" s="9"/>
    </row>
    <row r="146" spans="1:22">
      <c r="A146" s="45"/>
      <c r="B146" s="34" t="str">
        <f>'[4]5) Year 1-5 Staff Assumptions'!B105</f>
        <v>Other Retirement</v>
      </c>
      <c r="C146" s="45"/>
      <c r="D146" s="45"/>
      <c r="E146" s="629">
        <f>'6) Year 1 Budget'!E109</f>
        <v>0</v>
      </c>
      <c r="F146" s="65">
        <f t="shared" si="70"/>
        <v>0</v>
      </c>
      <c r="G146" s="65">
        <f t="shared" si="69"/>
        <v>0</v>
      </c>
      <c r="H146" s="65">
        <f t="shared" si="69"/>
        <v>0</v>
      </c>
      <c r="I146" s="65">
        <f t="shared" si="69"/>
        <v>0</v>
      </c>
      <c r="J146" s="65">
        <f t="shared" si="69"/>
        <v>0</v>
      </c>
      <c r="K146" s="65">
        <f t="shared" si="69"/>
        <v>0</v>
      </c>
      <c r="L146" s="65">
        <f t="shared" si="69"/>
        <v>0</v>
      </c>
      <c r="M146" s="65">
        <f t="shared" si="69"/>
        <v>0</v>
      </c>
      <c r="N146" s="65">
        <f t="shared" si="69"/>
        <v>0</v>
      </c>
      <c r="O146" s="65">
        <f t="shared" si="69"/>
        <v>0</v>
      </c>
      <c r="P146" s="65">
        <f t="shared" si="69"/>
        <v>0</v>
      </c>
      <c r="Q146" s="65">
        <f t="shared" si="69"/>
        <v>0</v>
      </c>
      <c r="R146" s="58">
        <f t="shared" si="71"/>
        <v>0</v>
      </c>
      <c r="S146" s="58">
        <f t="shared" si="72"/>
        <v>0</v>
      </c>
      <c r="T146" s="107"/>
      <c r="V146" s="9"/>
    </row>
    <row r="147" spans="1:22">
      <c r="B147" s="8"/>
      <c r="V147" s="9"/>
    </row>
    <row r="148" spans="1:22" ht="15.75" thickBot="1">
      <c r="B148" s="29" t="s">
        <v>129</v>
      </c>
      <c r="C148" s="42"/>
      <c r="D148" s="42"/>
      <c r="E148" s="54">
        <f t="shared" ref="E148:S148" si="75">SUM(E132:E146)</f>
        <v>377969.83840000001</v>
      </c>
      <c r="F148" s="54">
        <f t="shared" si="75"/>
        <v>31497.486533333336</v>
      </c>
      <c r="G148" s="54">
        <f t="shared" si="75"/>
        <v>31497.486533333336</v>
      </c>
      <c r="H148" s="54">
        <f t="shared" si="75"/>
        <v>31497.486533333336</v>
      </c>
      <c r="I148" s="54">
        <f t="shared" si="75"/>
        <v>31497.486533333336</v>
      </c>
      <c r="J148" s="54">
        <f t="shared" si="75"/>
        <v>31497.486533333336</v>
      </c>
      <c r="K148" s="54">
        <f t="shared" si="75"/>
        <v>31497.486533333336</v>
      </c>
      <c r="L148" s="54">
        <f t="shared" si="75"/>
        <v>31497.486533333336</v>
      </c>
      <c r="M148" s="54">
        <f t="shared" si="75"/>
        <v>31497.486533333336</v>
      </c>
      <c r="N148" s="54">
        <f t="shared" si="75"/>
        <v>31497.486533333336</v>
      </c>
      <c r="O148" s="54">
        <f t="shared" si="75"/>
        <v>31497.486533333336</v>
      </c>
      <c r="P148" s="54">
        <f t="shared" si="75"/>
        <v>31497.486533333336</v>
      </c>
      <c r="Q148" s="54">
        <f t="shared" si="75"/>
        <v>31497.486533333336</v>
      </c>
      <c r="R148" s="54">
        <f t="shared" si="75"/>
        <v>377969.83839999995</v>
      </c>
      <c r="S148" s="54">
        <f t="shared" si="75"/>
        <v>0</v>
      </c>
      <c r="T148" s="55"/>
      <c r="V148" s="9"/>
    </row>
    <row r="149" spans="1:22" ht="16.5" thickTop="1" thickBot="1">
      <c r="B149" s="134"/>
      <c r="C149" s="135"/>
      <c r="D149" s="135"/>
      <c r="E149" s="136"/>
      <c r="F149" s="136"/>
      <c r="G149" s="136"/>
      <c r="H149" s="136"/>
      <c r="I149" s="136"/>
      <c r="J149" s="136"/>
      <c r="K149" s="136"/>
      <c r="L149" s="136"/>
      <c r="M149" s="136"/>
      <c r="N149" s="136"/>
      <c r="O149" s="136"/>
      <c r="P149" s="136"/>
      <c r="Q149" s="136"/>
      <c r="R149" s="136"/>
      <c r="S149" s="136"/>
      <c r="T149" s="136"/>
      <c r="U149" s="21"/>
      <c r="V149" s="22"/>
    </row>
    <row r="150" spans="1:22">
      <c r="B150" s="137"/>
      <c r="C150" s="138"/>
      <c r="D150" s="138"/>
      <c r="E150" s="139"/>
      <c r="F150" s="139"/>
      <c r="G150" s="139"/>
      <c r="H150" s="139"/>
      <c r="I150" s="139"/>
      <c r="J150" s="139"/>
      <c r="K150" s="139"/>
      <c r="L150" s="139"/>
      <c r="M150" s="139"/>
      <c r="N150" s="139"/>
      <c r="O150" s="139"/>
      <c r="P150" s="139"/>
      <c r="Q150" s="139"/>
      <c r="R150" s="139"/>
      <c r="S150" s="139"/>
      <c r="T150" s="139"/>
      <c r="U150" s="6"/>
      <c r="V150" s="7"/>
    </row>
    <row r="151" spans="1:22">
      <c r="B151" s="29"/>
      <c r="C151" s="42"/>
      <c r="D151" s="42"/>
      <c r="E151" s="783" t="s">
        <v>130</v>
      </c>
      <c r="F151" s="783"/>
      <c r="G151" s="783"/>
      <c r="H151" s="783"/>
      <c r="I151" s="783"/>
      <c r="J151" s="783"/>
      <c r="K151" s="783"/>
      <c r="L151" s="783"/>
      <c r="M151" s="783"/>
      <c r="N151" s="783"/>
      <c r="O151" s="783"/>
      <c r="P151" s="783"/>
      <c r="Q151" s="783"/>
      <c r="R151" s="783"/>
      <c r="S151" s="783"/>
      <c r="T151" s="55"/>
      <c r="V151" s="9"/>
    </row>
    <row r="152" spans="1:22">
      <c r="B152" s="29"/>
      <c r="C152" s="42"/>
      <c r="D152" s="42"/>
      <c r="E152" s="42"/>
      <c r="F152" s="42"/>
      <c r="G152" s="42"/>
      <c r="H152" s="42"/>
      <c r="I152" s="42"/>
      <c r="J152" s="42"/>
      <c r="K152" s="42"/>
      <c r="L152" s="42"/>
      <c r="M152" s="42"/>
      <c r="N152" s="42"/>
      <c r="O152" s="42"/>
      <c r="P152" s="42"/>
      <c r="Q152" s="42"/>
      <c r="R152" s="42"/>
      <c r="S152" s="42"/>
      <c r="T152" s="55"/>
      <c r="U152" s="42"/>
      <c r="V152" s="9"/>
    </row>
    <row r="153" spans="1:22">
      <c r="B153" s="29"/>
      <c r="C153" s="42"/>
      <c r="D153" s="42"/>
      <c r="E153" s="83" t="str">
        <f>E10</f>
        <v>Year 1</v>
      </c>
      <c r="F153" s="83" t="str">
        <f t="shared" ref="F153:S153" si="76">F10</f>
        <v>Year 1</v>
      </c>
      <c r="G153" s="83" t="str">
        <f t="shared" si="76"/>
        <v>Year 1</v>
      </c>
      <c r="H153" s="83" t="str">
        <f t="shared" si="76"/>
        <v>Year 1</v>
      </c>
      <c r="I153" s="83" t="str">
        <f t="shared" si="76"/>
        <v>Year 1</v>
      </c>
      <c r="J153" s="83" t="str">
        <f t="shared" si="76"/>
        <v>Year 1</v>
      </c>
      <c r="K153" s="83" t="str">
        <f t="shared" si="76"/>
        <v>Year 1</v>
      </c>
      <c r="L153" s="83" t="str">
        <f t="shared" si="76"/>
        <v>Year 1</v>
      </c>
      <c r="M153" s="83" t="str">
        <f t="shared" si="76"/>
        <v>Year 1</v>
      </c>
      <c r="N153" s="83" t="str">
        <f t="shared" si="76"/>
        <v>Year 1</v>
      </c>
      <c r="O153" s="83" t="str">
        <f t="shared" si="76"/>
        <v>Year 1</v>
      </c>
      <c r="P153" s="83" t="str">
        <f t="shared" si="76"/>
        <v>Year 1</v>
      </c>
      <c r="Q153" s="83" t="str">
        <f t="shared" si="76"/>
        <v>Year 1</v>
      </c>
      <c r="R153" s="83" t="str">
        <f t="shared" si="76"/>
        <v>Year 1</v>
      </c>
      <c r="S153" s="83" t="str">
        <f t="shared" si="76"/>
        <v>Year 1</v>
      </c>
      <c r="T153" s="55"/>
      <c r="U153" s="42"/>
      <c r="V153" s="9"/>
    </row>
    <row r="154" spans="1:22">
      <c r="B154" s="29"/>
      <c r="C154" s="42"/>
      <c r="D154" s="42"/>
      <c r="E154" s="74" t="str">
        <f>E11</f>
        <v>2024-25</v>
      </c>
      <c r="F154" s="74" t="str">
        <f t="shared" ref="F154:S154" si="77">F11</f>
        <v>2024-25</v>
      </c>
      <c r="G154" s="74" t="str">
        <f t="shared" si="77"/>
        <v>2024-25</v>
      </c>
      <c r="H154" s="74" t="str">
        <f t="shared" si="77"/>
        <v>2024-25</v>
      </c>
      <c r="I154" s="74" t="str">
        <f t="shared" si="77"/>
        <v>2024-25</v>
      </c>
      <c r="J154" s="74" t="str">
        <f t="shared" si="77"/>
        <v>2024-25</v>
      </c>
      <c r="K154" s="74" t="str">
        <f t="shared" si="77"/>
        <v>2024-25</v>
      </c>
      <c r="L154" s="74" t="str">
        <f t="shared" si="77"/>
        <v>2024-25</v>
      </c>
      <c r="M154" s="74" t="str">
        <f t="shared" si="77"/>
        <v>2024-25</v>
      </c>
      <c r="N154" s="74" t="str">
        <f t="shared" si="77"/>
        <v>2024-25</v>
      </c>
      <c r="O154" s="74" t="str">
        <f t="shared" si="77"/>
        <v>2024-25</v>
      </c>
      <c r="P154" s="74" t="str">
        <f t="shared" si="77"/>
        <v>2024-25</v>
      </c>
      <c r="Q154" s="74" t="str">
        <f t="shared" si="77"/>
        <v>2024-25</v>
      </c>
      <c r="R154" s="74" t="str">
        <f t="shared" si="77"/>
        <v>2024-25</v>
      </c>
      <c r="S154" s="74" t="str">
        <f t="shared" si="77"/>
        <v>2024-25</v>
      </c>
      <c r="T154" s="85"/>
      <c r="U154" s="42"/>
      <c r="V154" s="9"/>
    </row>
    <row r="155" spans="1:22">
      <c r="A155" s="45"/>
      <c r="B155" s="34"/>
      <c r="C155" s="42"/>
      <c r="D155" s="2"/>
      <c r="E155" s="74" t="str">
        <f>E12</f>
        <v>Total Budget</v>
      </c>
      <c r="F155" s="74" t="str">
        <f t="shared" ref="F155:S155" si="78">F12</f>
        <v>July</v>
      </c>
      <c r="G155" s="74" t="str">
        <f t="shared" si="78"/>
        <v>August</v>
      </c>
      <c r="H155" s="74" t="str">
        <f t="shared" si="78"/>
        <v>September</v>
      </c>
      <c r="I155" s="74" t="str">
        <f t="shared" si="78"/>
        <v>October</v>
      </c>
      <c r="J155" s="74" t="str">
        <f t="shared" si="78"/>
        <v>November</v>
      </c>
      <c r="K155" s="74" t="str">
        <f t="shared" si="78"/>
        <v>December</v>
      </c>
      <c r="L155" s="74" t="str">
        <f t="shared" si="78"/>
        <v>January</v>
      </c>
      <c r="M155" s="74" t="str">
        <f t="shared" si="78"/>
        <v>February</v>
      </c>
      <c r="N155" s="74" t="str">
        <f t="shared" si="78"/>
        <v>March</v>
      </c>
      <c r="O155" s="74" t="str">
        <f t="shared" si="78"/>
        <v>April</v>
      </c>
      <c r="P155" s="74" t="str">
        <f t="shared" si="78"/>
        <v>May</v>
      </c>
      <c r="Q155" s="74" t="str">
        <f t="shared" si="78"/>
        <v>June</v>
      </c>
      <c r="R155" s="74" t="str">
        <f t="shared" si="78"/>
        <v>Total</v>
      </c>
      <c r="S155" s="74" t="str">
        <f t="shared" si="78"/>
        <v>AR/AP</v>
      </c>
      <c r="T155" s="44"/>
      <c r="V155" s="9"/>
    </row>
    <row r="156" spans="1:22" hidden="1">
      <c r="A156" s="45"/>
      <c r="B156" s="34"/>
      <c r="C156" s="45"/>
      <c r="D156" s="2"/>
      <c r="E156" s="76" t="e">
        <f>100%+E155</f>
        <v>#VALUE!</v>
      </c>
      <c r="F156" s="76" t="e">
        <f>E156*(1+F155)</f>
        <v>#VALUE!</v>
      </c>
      <c r="G156" s="76" t="e">
        <f t="shared" ref="G156:M156" si="79">F156*(1+G155)</f>
        <v>#VALUE!</v>
      </c>
      <c r="H156" s="76" t="e">
        <f t="shared" si="79"/>
        <v>#VALUE!</v>
      </c>
      <c r="I156" s="76" t="e">
        <f t="shared" si="79"/>
        <v>#VALUE!</v>
      </c>
      <c r="J156" s="76" t="e">
        <f t="shared" si="79"/>
        <v>#VALUE!</v>
      </c>
      <c r="K156" s="76" t="e">
        <f t="shared" si="79"/>
        <v>#VALUE!</v>
      </c>
      <c r="L156" s="76" t="e">
        <f t="shared" si="79"/>
        <v>#VALUE!</v>
      </c>
      <c r="M156" s="76" t="e">
        <f t="shared" si="79"/>
        <v>#VALUE!</v>
      </c>
      <c r="N156" s="76"/>
      <c r="O156" s="76"/>
      <c r="P156" s="76"/>
      <c r="Q156" s="76"/>
      <c r="R156" s="76"/>
      <c r="S156" s="76" t="e">
        <f>M156*(1+S155)</f>
        <v>#VALUE!</v>
      </c>
      <c r="T156" s="76"/>
      <c r="V156" s="9"/>
    </row>
    <row r="157" spans="1:22">
      <c r="B157" s="29"/>
      <c r="C157" s="42"/>
      <c r="D157" s="42"/>
      <c r="E157" s="55"/>
      <c r="F157" s="55"/>
      <c r="G157" s="55"/>
      <c r="H157" s="55"/>
      <c r="I157" s="55"/>
      <c r="J157" s="55"/>
      <c r="K157" s="55"/>
      <c r="L157" s="55"/>
      <c r="M157" s="55"/>
      <c r="N157" s="55"/>
      <c r="O157" s="55"/>
      <c r="P157" s="55"/>
      <c r="Q157" s="55"/>
      <c r="R157" s="55"/>
      <c r="S157" s="55"/>
      <c r="T157" s="55"/>
      <c r="V157" s="9"/>
    </row>
    <row r="158" spans="1:22">
      <c r="B158" s="29" t="s">
        <v>132</v>
      </c>
      <c r="C158" s="42"/>
      <c r="D158" s="42"/>
      <c r="E158" s="55"/>
      <c r="F158" s="55"/>
      <c r="G158" s="55"/>
      <c r="H158" s="55"/>
      <c r="I158" s="55"/>
      <c r="J158" s="55"/>
      <c r="K158" s="55"/>
      <c r="L158" s="55"/>
      <c r="M158" s="55"/>
      <c r="N158" s="55"/>
      <c r="O158" s="55"/>
      <c r="P158" s="55"/>
      <c r="Q158" s="55"/>
      <c r="R158" s="55"/>
      <c r="S158" s="55"/>
      <c r="T158" s="47" t="s">
        <v>91</v>
      </c>
      <c r="V158" s="9"/>
    </row>
    <row r="159" spans="1:22">
      <c r="B159" s="34" t="str">
        <f>'6) Year 1 Budget'!B122</f>
        <v>Professional Development</v>
      </c>
      <c r="C159" s="89"/>
      <c r="E159" s="82">
        <f>'6) Year 1 Budget'!E122</f>
        <v>100000</v>
      </c>
      <c r="F159" s="65">
        <f>$E159/12</f>
        <v>8333.3333333333339</v>
      </c>
      <c r="G159" s="65">
        <f t="shared" ref="G159:Q173" si="80">$E159/12</f>
        <v>8333.3333333333339</v>
      </c>
      <c r="H159" s="65">
        <f t="shared" si="80"/>
        <v>8333.3333333333339</v>
      </c>
      <c r="I159" s="65">
        <f t="shared" si="80"/>
        <v>8333.3333333333339</v>
      </c>
      <c r="J159" s="65">
        <f t="shared" si="80"/>
        <v>8333.3333333333339</v>
      </c>
      <c r="K159" s="65">
        <f t="shared" si="80"/>
        <v>8333.3333333333339</v>
      </c>
      <c r="L159" s="65">
        <f t="shared" si="80"/>
        <v>8333.3333333333339</v>
      </c>
      <c r="M159" s="65">
        <f t="shared" si="80"/>
        <v>8333.3333333333339</v>
      </c>
      <c r="N159" s="65">
        <f t="shared" si="80"/>
        <v>8333.3333333333339</v>
      </c>
      <c r="O159" s="65">
        <f t="shared" si="80"/>
        <v>8333.3333333333339</v>
      </c>
      <c r="P159" s="65">
        <f t="shared" si="80"/>
        <v>8333.3333333333339</v>
      </c>
      <c r="Q159" s="65">
        <f t="shared" si="80"/>
        <v>8333.3333333333339</v>
      </c>
      <c r="R159" s="58">
        <f>SUM(F159:Q159)</f>
        <v>99999.999999999985</v>
      </c>
      <c r="S159" s="58">
        <f>E159-R159</f>
        <v>0</v>
      </c>
      <c r="T159" s="106" t="s">
        <v>133</v>
      </c>
      <c r="V159" s="9"/>
    </row>
    <row r="160" spans="1:22">
      <c r="B160" s="34" t="str">
        <f>'6) Year 1 Budget'!B123</f>
        <v>Financial Services</v>
      </c>
      <c r="C160" s="89"/>
      <c r="E160" s="82">
        <f>'6) Year 1 Budget'!E123</f>
        <v>48000</v>
      </c>
      <c r="F160" s="65">
        <f t="shared" ref="F160:F173" si="81">$E160/12</f>
        <v>4000</v>
      </c>
      <c r="G160" s="65">
        <f t="shared" si="80"/>
        <v>4000</v>
      </c>
      <c r="H160" s="65">
        <f t="shared" si="80"/>
        <v>4000</v>
      </c>
      <c r="I160" s="65">
        <f t="shared" si="80"/>
        <v>4000</v>
      </c>
      <c r="J160" s="65">
        <f t="shared" si="80"/>
        <v>4000</v>
      </c>
      <c r="K160" s="65">
        <f t="shared" si="80"/>
        <v>4000</v>
      </c>
      <c r="L160" s="65">
        <f t="shared" si="80"/>
        <v>4000</v>
      </c>
      <c r="M160" s="65">
        <f t="shared" si="80"/>
        <v>4000</v>
      </c>
      <c r="N160" s="65">
        <f t="shared" si="80"/>
        <v>4000</v>
      </c>
      <c r="O160" s="65">
        <f t="shared" si="80"/>
        <v>4000</v>
      </c>
      <c r="P160" s="65">
        <f t="shared" si="80"/>
        <v>4000</v>
      </c>
      <c r="Q160" s="65">
        <f t="shared" si="80"/>
        <v>4000</v>
      </c>
      <c r="R160" s="58">
        <f>SUM(F160:Q160)</f>
        <v>48000</v>
      </c>
      <c r="S160" s="58">
        <f>E160-R160</f>
        <v>0</v>
      </c>
      <c r="T160" s="106" t="s">
        <v>134</v>
      </c>
      <c r="V160" s="9"/>
    </row>
    <row r="161" spans="2:22">
      <c r="B161" s="34" t="str">
        <f>'6) Year 1 Budget'!B124</f>
        <v>Audit Services</v>
      </c>
      <c r="C161" s="89"/>
      <c r="E161" s="82">
        <f>'6) Year 1 Budget'!E124</f>
        <v>12000</v>
      </c>
      <c r="F161" s="65">
        <f t="shared" si="81"/>
        <v>1000</v>
      </c>
      <c r="G161" s="65">
        <f t="shared" si="80"/>
        <v>1000</v>
      </c>
      <c r="H161" s="65">
        <f t="shared" si="80"/>
        <v>1000</v>
      </c>
      <c r="I161" s="65">
        <f t="shared" si="80"/>
        <v>1000</v>
      </c>
      <c r="J161" s="65">
        <f t="shared" si="80"/>
        <v>1000</v>
      </c>
      <c r="K161" s="65">
        <f t="shared" si="80"/>
        <v>1000</v>
      </c>
      <c r="L161" s="65">
        <f t="shared" si="80"/>
        <v>1000</v>
      </c>
      <c r="M161" s="65">
        <f t="shared" si="80"/>
        <v>1000</v>
      </c>
      <c r="N161" s="65">
        <f t="shared" si="80"/>
        <v>1000</v>
      </c>
      <c r="O161" s="65">
        <f t="shared" si="80"/>
        <v>1000</v>
      </c>
      <c r="P161" s="65">
        <f t="shared" si="80"/>
        <v>1000</v>
      </c>
      <c r="Q161" s="65">
        <f t="shared" si="80"/>
        <v>1000</v>
      </c>
      <c r="R161" s="58">
        <f>SUM(F161:Q161)</f>
        <v>12000</v>
      </c>
      <c r="S161" s="58">
        <f>E161-R161</f>
        <v>0</v>
      </c>
      <c r="T161" s="106" t="s">
        <v>135</v>
      </c>
      <c r="V161" s="9"/>
    </row>
    <row r="162" spans="2:22">
      <c r="B162" s="34" t="str">
        <f>'6) Year 1 Budget'!B125</f>
        <v>Legal Fees</v>
      </c>
      <c r="C162" s="89"/>
      <c r="E162" s="82">
        <f>'6) Year 1 Budget'!E125</f>
        <v>5000</v>
      </c>
      <c r="F162" s="65">
        <f t="shared" si="81"/>
        <v>416.66666666666669</v>
      </c>
      <c r="G162" s="65">
        <f t="shared" si="80"/>
        <v>416.66666666666669</v>
      </c>
      <c r="H162" s="65">
        <f t="shared" si="80"/>
        <v>416.66666666666669</v>
      </c>
      <c r="I162" s="65">
        <f t="shared" si="80"/>
        <v>416.66666666666669</v>
      </c>
      <c r="J162" s="65">
        <f t="shared" si="80"/>
        <v>416.66666666666669</v>
      </c>
      <c r="K162" s="65">
        <f t="shared" si="80"/>
        <v>416.66666666666669</v>
      </c>
      <c r="L162" s="65">
        <f t="shared" si="80"/>
        <v>416.66666666666669</v>
      </c>
      <c r="M162" s="65">
        <f t="shared" si="80"/>
        <v>416.66666666666669</v>
      </c>
      <c r="N162" s="65">
        <f t="shared" si="80"/>
        <v>416.66666666666669</v>
      </c>
      <c r="O162" s="65">
        <f t="shared" si="80"/>
        <v>416.66666666666669</v>
      </c>
      <c r="P162" s="65">
        <f t="shared" si="80"/>
        <v>416.66666666666669</v>
      </c>
      <c r="Q162" s="65">
        <f t="shared" si="80"/>
        <v>416.66666666666669</v>
      </c>
      <c r="R162" s="58">
        <f t="shared" ref="R162:R168" si="82">SUM(F162:Q162)</f>
        <v>5000</v>
      </c>
      <c r="S162" s="58">
        <f t="shared" ref="S162:S168" si="83">E162-R162</f>
        <v>0</v>
      </c>
      <c r="T162" s="106" t="s">
        <v>136</v>
      </c>
      <c r="V162" s="9"/>
    </row>
    <row r="163" spans="2:22">
      <c r="B163" s="34" t="str">
        <f>'6) Year 1 Budget'!B126</f>
        <v>Copier Lease and Usage</v>
      </c>
      <c r="C163" s="89"/>
      <c r="E163" s="82">
        <f>'6) Year 1 Budget'!E126</f>
        <v>2436</v>
      </c>
      <c r="F163" s="65">
        <f t="shared" si="81"/>
        <v>203</v>
      </c>
      <c r="G163" s="65">
        <f t="shared" si="80"/>
        <v>203</v>
      </c>
      <c r="H163" s="65">
        <f t="shared" si="80"/>
        <v>203</v>
      </c>
      <c r="I163" s="65">
        <f t="shared" si="80"/>
        <v>203</v>
      </c>
      <c r="J163" s="65">
        <f t="shared" si="80"/>
        <v>203</v>
      </c>
      <c r="K163" s="65">
        <f t="shared" si="80"/>
        <v>203</v>
      </c>
      <c r="L163" s="65">
        <f t="shared" si="80"/>
        <v>203</v>
      </c>
      <c r="M163" s="65">
        <f t="shared" si="80"/>
        <v>203</v>
      </c>
      <c r="N163" s="65">
        <f t="shared" si="80"/>
        <v>203</v>
      </c>
      <c r="O163" s="65">
        <f t="shared" si="80"/>
        <v>203</v>
      </c>
      <c r="P163" s="65">
        <f t="shared" si="80"/>
        <v>203</v>
      </c>
      <c r="Q163" s="65">
        <f t="shared" si="80"/>
        <v>203</v>
      </c>
      <c r="R163" s="58">
        <f t="shared" si="82"/>
        <v>2436</v>
      </c>
      <c r="S163" s="58">
        <f t="shared" si="83"/>
        <v>0</v>
      </c>
      <c r="T163" s="106" t="s">
        <v>137</v>
      </c>
      <c r="V163" s="9"/>
    </row>
    <row r="164" spans="2:22">
      <c r="B164" s="34" t="str">
        <f>'6) Year 1 Budget'!B127</f>
        <v>Internet and Phone Service</v>
      </c>
      <c r="C164" s="89"/>
      <c r="E164" s="82">
        <f>'6) Year 1 Budget'!E127</f>
        <v>22704</v>
      </c>
      <c r="F164" s="65">
        <f t="shared" si="81"/>
        <v>1892</v>
      </c>
      <c r="G164" s="65">
        <f t="shared" si="80"/>
        <v>1892</v>
      </c>
      <c r="H164" s="65">
        <f t="shared" si="80"/>
        <v>1892</v>
      </c>
      <c r="I164" s="65">
        <f t="shared" si="80"/>
        <v>1892</v>
      </c>
      <c r="J164" s="65">
        <f t="shared" si="80"/>
        <v>1892</v>
      </c>
      <c r="K164" s="65">
        <f t="shared" si="80"/>
        <v>1892</v>
      </c>
      <c r="L164" s="65">
        <f t="shared" si="80"/>
        <v>1892</v>
      </c>
      <c r="M164" s="65">
        <f t="shared" si="80"/>
        <v>1892</v>
      </c>
      <c r="N164" s="65">
        <f t="shared" si="80"/>
        <v>1892</v>
      </c>
      <c r="O164" s="65">
        <f t="shared" si="80"/>
        <v>1892</v>
      </c>
      <c r="P164" s="65">
        <f t="shared" si="80"/>
        <v>1892</v>
      </c>
      <c r="Q164" s="65">
        <f t="shared" si="80"/>
        <v>1892</v>
      </c>
      <c r="R164" s="58">
        <f t="shared" si="82"/>
        <v>22704</v>
      </c>
      <c r="S164" s="58">
        <f t="shared" si="83"/>
        <v>0</v>
      </c>
      <c r="T164" s="106" t="s">
        <v>138</v>
      </c>
      <c r="V164" s="9"/>
    </row>
    <row r="165" spans="2:22">
      <c r="B165" s="34" t="str">
        <f>'6) Year 1 Budget'!B128</f>
        <v>Cell Phone Service</v>
      </c>
      <c r="C165" s="89"/>
      <c r="E165" s="82">
        <f>'6) Year 1 Budget'!E128</f>
        <v>600</v>
      </c>
      <c r="F165" s="65">
        <f t="shared" si="81"/>
        <v>50</v>
      </c>
      <c r="G165" s="65">
        <f t="shared" si="80"/>
        <v>50</v>
      </c>
      <c r="H165" s="65">
        <f t="shared" si="80"/>
        <v>50</v>
      </c>
      <c r="I165" s="65">
        <f t="shared" si="80"/>
        <v>50</v>
      </c>
      <c r="J165" s="65">
        <f t="shared" si="80"/>
        <v>50</v>
      </c>
      <c r="K165" s="65">
        <f t="shared" si="80"/>
        <v>50</v>
      </c>
      <c r="L165" s="65">
        <f t="shared" si="80"/>
        <v>50</v>
      </c>
      <c r="M165" s="65">
        <f t="shared" si="80"/>
        <v>50</v>
      </c>
      <c r="N165" s="65">
        <f t="shared" si="80"/>
        <v>50</v>
      </c>
      <c r="O165" s="65">
        <f t="shared" si="80"/>
        <v>50</v>
      </c>
      <c r="P165" s="65">
        <f t="shared" si="80"/>
        <v>50</v>
      </c>
      <c r="Q165" s="65">
        <f t="shared" si="80"/>
        <v>50</v>
      </c>
      <c r="R165" s="58">
        <f t="shared" si="82"/>
        <v>600</v>
      </c>
      <c r="S165" s="58">
        <f t="shared" si="83"/>
        <v>0</v>
      </c>
      <c r="T165" s="106" t="s">
        <v>139</v>
      </c>
      <c r="V165" s="9"/>
    </row>
    <row r="166" spans="2:22">
      <c r="B166" s="34" t="str">
        <f>'6) Year 1 Budget'!B129</f>
        <v>Payroll Services</v>
      </c>
      <c r="C166" s="89"/>
      <c r="E166" s="82">
        <f>'6) Year 1 Budget'!E129</f>
        <v>0</v>
      </c>
      <c r="F166" s="65">
        <f t="shared" si="81"/>
        <v>0</v>
      </c>
      <c r="G166" s="65">
        <f t="shared" si="80"/>
        <v>0</v>
      </c>
      <c r="H166" s="65">
        <f t="shared" si="80"/>
        <v>0</v>
      </c>
      <c r="I166" s="65">
        <f t="shared" si="80"/>
        <v>0</v>
      </c>
      <c r="J166" s="65">
        <f t="shared" si="80"/>
        <v>0</v>
      </c>
      <c r="K166" s="65">
        <f t="shared" si="80"/>
        <v>0</v>
      </c>
      <c r="L166" s="65">
        <f t="shared" si="80"/>
        <v>0</v>
      </c>
      <c r="M166" s="65">
        <f t="shared" si="80"/>
        <v>0</v>
      </c>
      <c r="N166" s="65">
        <f t="shared" si="80"/>
        <v>0</v>
      </c>
      <c r="O166" s="65">
        <f t="shared" si="80"/>
        <v>0</v>
      </c>
      <c r="P166" s="65">
        <f t="shared" si="80"/>
        <v>0</v>
      </c>
      <c r="Q166" s="65">
        <f t="shared" si="80"/>
        <v>0</v>
      </c>
      <c r="R166" s="58">
        <f t="shared" si="82"/>
        <v>0</v>
      </c>
      <c r="S166" s="58">
        <f t="shared" si="83"/>
        <v>0</v>
      </c>
      <c r="T166" s="106" t="s">
        <v>140</v>
      </c>
      <c r="V166" s="9"/>
    </row>
    <row r="167" spans="2:22">
      <c r="B167" s="34" t="str">
        <f>'6) Year 1 Budget'!B130</f>
        <v>Health Services</v>
      </c>
      <c r="C167" s="89"/>
      <c r="E167" s="82">
        <f>'6) Year 1 Budget'!E130</f>
        <v>0</v>
      </c>
      <c r="F167" s="65">
        <f t="shared" si="81"/>
        <v>0</v>
      </c>
      <c r="G167" s="65">
        <f t="shared" si="80"/>
        <v>0</v>
      </c>
      <c r="H167" s="65">
        <f t="shared" si="80"/>
        <v>0</v>
      </c>
      <c r="I167" s="65">
        <f t="shared" si="80"/>
        <v>0</v>
      </c>
      <c r="J167" s="65">
        <f t="shared" si="80"/>
        <v>0</v>
      </c>
      <c r="K167" s="65">
        <f t="shared" si="80"/>
        <v>0</v>
      </c>
      <c r="L167" s="65">
        <f t="shared" si="80"/>
        <v>0</v>
      </c>
      <c r="M167" s="65">
        <f t="shared" si="80"/>
        <v>0</v>
      </c>
      <c r="N167" s="65">
        <f t="shared" si="80"/>
        <v>0</v>
      </c>
      <c r="O167" s="65">
        <f t="shared" si="80"/>
        <v>0</v>
      </c>
      <c r="P167" s="65">
        <f t="shared" si="80"/>
        <v>0</v>
      </c>
      <c r="Q167" s="65">
        <f t="shared" si="80"/>
        <v>0</v>
      </c>
      <c r="R167" s="58">
        <f t="shared" si="82"/>
        <v>0</v>
      </c>
      <c r="S167" s="58">
        <f t="shared" si="83"/>
        <v>0</v>
      </c>
      <c r="T167" s="106" t="s">
        <v>141</v>
      </c>
      <c r="V167" s="9"/>
    </row>
    <row r="168" spans="2:22">
      <c r="B168" s="34" t="str">
        <f>'6) Year 1 Budget'!B131</f>
        <v>Transportation</v>
      </c>
      <c r="C168" s="89"/>
      <c r="E168" s="82">
        <f>'6) Year 1 Budget'!E131</f>
        <v>102999</v>
      </c>
      <c r="F168" s="65">
        <f t="shared" si="81"/>
        <v>8583.25</v>
      </c>
      <c r="G168" s="65">
        <f t="shared" si="80"/>
        <v>8583.25</v>
      </c>
      <c r="H168" s="65">
        <f t="shared" si="80"/>
        <v>8583.25</v>
      </c>
      <c r="I168" s="65">
        <f t="shared" si="80"/>
        <v>8583.25</v>
      </c>
      <c r="J168" s="65">
        <f t="shared" si="80"/>
        <v>8583.25</v>
      </c>
      <c r="K168" s="65">
        <f t="shared" si="80"/>
        <v>8583.25</v>
      </c>
      <c r="L168" s="65">
        <f t="shared" si="80"/>
        <v>8583.25</v>
      </c>
      <c r="M168" s="65">
        <f t="shared" si="80"/>
        <v>8583.25</v>
      </c>
      <c r="N168" s="65">
        <f t="shared" si="80"/>
        <v>8583.25</v>
      </c>
      <c r="O168" s="65">
        <f t="shared" si="80"/>
        <v>8583.25</v>
      </c>
      <c r="P168" s="65">
        <f t="shared" si="80"/>
        <v>8583.25</v>
      </c>
      <c r="Q168" s="65">
        <f t="shared" si="80"/>
        <v>8583.25</v>
      </c>
      <c r="R168" s="58">
        <f t="shared" si="82"/>
        <v>102999</v>
      </c>
      <c r="S168" s="58">
        <f t="shared" si="83"/>
        <v>0</v>
      </c>
      <c r="T168" s="106" t="s">
        <v>142</v>
      </c>
      <c r="V168" s="9"/>
    </row>
    <row r="169" spans="2:22">
      <c r="B169" s="34" t="str">
        <f>'6) Year 1 Budget'!B132</f>
        <v>IT Services</v>
      </c>
      <c r="C169" s="89"/>
      <c r="E169" s="82">
        <f>'6) Year 1 Budget'!E132</f>
        <v>6362</v>
      </c>
      <c r="F169" s="65">
        <f t="shared" si="81"/>
        <v>530.16666666666663</v>
      </c>
      <c r="G169" s="65">
        <f t="shared" si="80"/>
        <v>530.16666666666663</v>
      </c>
      <c r="H169" s="65">
        <f t="shared" si="80"/>
        <v>530.16666666666663</v>
      </c>
      <c r="I169" s="65">
        <f t="shared" si="80"/>
        <v>530.16666666666663</v>
      </c>
      <c r="J169" s="65">
        <f t="shared" si="80"/>
        <v>530.16666666666663</v>
      </c>
      <c r="K169" s="65">
        <f t="shared" si="80"/>
        <v>530.16666666666663</v>
      </c>
      <c r="L169" s="65">
        <f t="shared" si="80"/>
        <v>530.16666666666663</v>
      </c>
      <c r="M169" s="65">
        <f t="shared" si="80"/>
        <v>530.16666666666663</v>
      </c>
      <c r="N169" s="65">
        <f t="shared" si="80"/>
        <v>530.16666666666663</v>
      </c>
      <c r="O169" s="65">
        <f t="shared" si="80"/>
        <v>530.16666666666663</v>
      </c>
      <c r="P169" s="65">
        <f t="shared" si="80"/>
        <v>530.16666666666663</v>
      </c>
      <c r="Q169" s="65">
        <f t="shared" si="80"/>
        <v>530.16666666666663</v>
      </c>
      <c r="R169" s="58">
        <f>SUM(F169:Q169)</f>
        <v>6362.0000000000009</v>
      </c>
      <c r="S169" s="58">
        <f>E169-R169</f>
        <v>0</v>
      </c>
      <c r="T169" s="106" t="s">
        <v>143</v>
      </c>
      <c r="V169" s="9"/>
    </row>
    <row r="170" spans="2:22">
      <c r="B170" s="34" t="str">
        <f>'6) Year 1 Budget'!B133</f>
        <v>Contracted SPED Services</v>
      </c>
      <c r="C170" s="89"/>
      <c r="E170" s="82">
        <f>'6) Year 1 Budget'!E133</f>
        <v>0</v>
      </c>
      <c r="F170" s="65">
        <f t="shared" si="81"/>
        <v>0</v>
      </c>
      <c r="G170" s="65">
        <f t="shared" si="80"/>
        <v>0</v>
      </c>
      <c r="H170" s="65">
        <f t="shared" si="80"/>
        <v>0</v>
      </c>
      <c r="I170" s="65">
        <f t="shared" si="80"/>
        <v>0</v>
      </c>
      <c r="J170" s="65">
        <f t="shared" si="80"/>
        <v>0</v>
      </c>
      <c r="K170" s="65">
        <f t="shared" si="80"/>
        <v>0</v>
      </c>
      <c r="L170" s="65">
        <f t="shared" si="80"/>
        <v>0</v>
      </c>
      <c r="M170" s="65">
        <f t="shared" si="80"/>
        <v>0</v>
      </c>
      <c r="N170" s="65">
        <f t="shared" si="80"/>
        <v>0</v>
      </c>
      <c r="O170" s="65">
        <f t="shared" si="80"/>
        <v>0</v>
      </c>
      <c r="P170" s="65">
        <f t="shared" si="80"/>
        <v>0</v>
      </c>
      <c r="Q170" s="65">
        <f t="shared" si="80"/>
        <v>0</v>
      </c>
      <c r="R170" s="58">
        <f>SUM(F170:Q170)</f>
        <v>0</v>
      </c>
      <c r="S170" s="58">
        <f>E170-R170</f>
        <v>0</v>
      </c>
      <c r="T170" s="106" t="s">
        <v>144</v>
      </c>
      <c r="V170" s="9"/>
    </row>
    <row r="171" spans="2:22">
      <c r="B171" s="34" t="str">
        <f>'6) Year 1 Budget'!B134</f>
        <v>Insurance</v>
      </c>
      <c r="C171" s="89"/>
      <c r="E171" s="82">
        <f>'6) Year 1 Budget'!E134</f>
        <v>19623</v>
      </c>
      <c r="F171" s="65">
        <f t="shared" si="81"/>
        <v>1635.25</v>
      </c>
      <c r="G171" s="65">
        <f t="shared" si="80"/>
        <v>1635.25</v>
      </c>
      <c r="H171" s="65">
        <f t="shared" si="80"/>
        <v>1635.25</v>
      </c>
      <c r="I171" s="65">
        <f t="shared" si="80"/>
        <v>1635.25</v>
      </c>
      <c r="J171" s="65">
        <f t="shared" si="80"/>
        <v>1635.25</v>
      </c>
      <c r="K171" s="65">
        <f t="shared" si="80"/>
        <v>1635.25</v>
      </c>
      <c r="L171" s="65">
        <f t="shared" si="80"/>
        <v>1635.25</v>
      </c>
      <c r="M171" s="65">
        <f t="shared" si="80"/>
        <v>1635.25</v>
      </c>
      <c r="N171" s="65">
        <f t="shared" si="80"/>
        <v>1635.25</v>
      </c>
      <c r="O171" s="65">
        <f t="shared" si="80"/>
        <v>1635.25</v>
      </c>
      <c r="P171" s="65">
        <f t="shared" si="80"/>
        <v>1635.25</v>
      </c>
      <c r="Q171" s="65">
        <f t="shared" si="80"/>
        <v>1635.25</v>
      </c>
      <c r="R171" s="58">
        <f>SUM(F171:Q171)</f>
        <v>19623</v>
      </c>
      <c r="S171" s="58">
        <f>E171-R171</f>
        <v>0</v>
      </c>
      <c r="T171" s="106" t="s">
        <v>145</v>
      </c>
      <c r="V171" s="9"/>
    </row>
    <row r="172" spans="2:22">
      <c r="B172" s="34" t="str">
        <f>'6) Year 1 Budget'!B135</f>
        <v>Postal Charges</v>
      </c>
      <c r="C172" s="89"/>
      <c r="E172" s="82">
        <f>'6) Year 1 Budget'!E135</f>
        <v>3320</v>
      </c>
      <c r="F172" s="65">
        <f t="shared" si="81"/>
        <v>276.66666666666669</v>
      </c>
      <c r="G172" s="65">
        <f t="shared" si="80"/>
        <v>276.66666666666669</v>
      </c>
      <c r="H172" s="65">
        <f t="shared" si="80"/>
        <v>276.66666666666669</v>
      </c>
      <c r="I172" s="65">
        <f t="shared" si="80"/>
        <v>276.66666666666669</v>
      </c>
      <c r="J172" s="65">
        <f t="shared" si="80"/>
        <v>276.66666666666669</v>
      </c>
      <c r="K172" s="65">
        <f t="shared" si="80"/>
        <v>276.66666666666669</v>
      </c>
      <c r="L172" s="65">
        <f t="shared" si="80"/>
        <v>276.66666666666669</v>
      </c>
      <c r="M172" s="65">
        <f t="shared" si="80"/>
        <v>276.66666666666669</v>
      </c>
      <c r="N172" s="65">
        <f t="shared" si="80"/>
        <v>276.66666666666669</v>
      </c>
      <c r="O172" s="65">
        <f t="shared" si="80"/>
        <v>276.66666666666669</v>
      </c>
      <c r="P172" s="65">
        <f t="shared" si="80"/>
        <v>276.66666666666669</v>
      </c>
      <c r="Q172" s="65">
        <f t="shared" si="80"/>
        <v>276.66666666666669</v>
      </c>
      <c r="R172" s="58">
        <f t="shared" ref="R172:R173" si="84">SUM(F172:Q172)</f>
        <v>3319.9999999999995</v>
      </c>
      <c r="S172" s="58">
        <f t="shared" ref="S172:S173" si="85">E172-R172</f>
        <v>0</v>
      </c>
      <c r="T172" s="106" t="s">
        <v>146</v>
      </c>
      <c r="V172" s="9"/>
    </row>
    <row r="173" spans="2:22">
      <c r="B173" s="34" t="str">
        <f>'6) Year 1 Budget'!B136</f>
        <v>Grant Writer</v>
      </c>
      <c r="C173" s="89"/>
      <c r="E173" s="82">
        <f>'6) Year 1 Budget'!E136</f>
        <v>48888</v>
      </c>
      <c r="F173" s="65">
        <f t="shared" si="81"/>
        <v>4074</v>
      </c>
      <c r="G173" s="65">
        <f t="shared" si="80"/>
        <v>4074</v>
      </c>
      <c r="H173" s="65">
        <f t="shared" si="80"/>
        <v>4074</v>
      </c>
      <c r="I173" s="65">
        <f t="shared" si="80"/>
        <v>4074</v>
      </c>
      <c r="J173" s="65">
        <f t="shared" si="80"/>
        <v>4074</v>
      </c>
      <c r="K173" s="65">
        <f t="shared" si="80"/>
        <v>4074</v>
      </c>
      <c r="L173" s="65">
        <f t="shared" si="80"/>
        <v>4074</v>
      </c>
      <c r="M173" s="65">
        <f t="shared" si="80"/>
        <v>4074</v>
      </c>
      <c r="N173" s="65">
        <f t="shared" si="80"/>
        <v>4074</v>
      </c>
      <c r="O173" s="65">
        <f t="shared" si="80"/>
        <v>4074</v>
      </c>
      <c r="P173" s="65">
        <f t="shared" si="80"/>
        <v>4074</v>
      </c>
      <c r="Q173" s="65">
        <f t="shared" si="80"/>
        <v>4074</v>
      </c>
      <c r="R173" s="58">
        <f t="shared" si="84"/>
        <v>48888</v>
      </c>
      <c r="S173" s="58">
        <f t="shared" si="85"/>
        <v>0</v>
      </c>
      <c r="T173" s="106" t="s">
        <v>147</v>
      </c>
      <c r="V173" s="9"/>
    </row>
    <row r="174" spans="2:22">
      <c r="B174" s="29"/>
      <c r="C174" s="42"/>
      <c r="D174" s="42"/>
      <c r="E174" s="55"/>
      <c r="F174" s="55"/>
      <c r="G174" s="55"/>
      <c r="H174" s="55"/>
      <c r="I174" s="55"/>
      <c r="J174" s="55"/>
      <c r="K174" s="55"/>
      <c r="L174" s="55"/>
      <c r="M174" s="55"/>
      <c r="N174" s="55"/>
      <c r="O174" s="55"/>
      <c r="P174" s="55"/>
      <c r="Q174" s="55"/>
      <c r="R174" s="55"/>
      <c r="S174" s="55"/>
      <c r="T174" s="55"/>
      <c r="V174" s="9"/>
    </row>
    <row r="175" spans="2:22">
      <c r="B175" s="29" t="s">
        <v>148</v>
      </c>
      <c r="C175" s="42"/>
      <c r="D175" s="42"/>
      <c r="E175" s="55"/>
      <c r="F175" s="55"/>
      <c r="G175" s="55"/>
      <c r="H175" s="55"/>
      <c r="I175" s="55"/>
      <c r="J175" s="55"/>
      <c r="K175" s="55"/>
      <c r="L175" s="55"/>
      <c r="M175" s="55"/>
      <c r="N175" s="55"/>
      <c r="O175" s="55"/>
      <c r="P175" s="55"/>
      <c r="Q175" s="55"/>
      <c r="R175" s="55"/>
      <c r="S175" s="55"/>
      <c r="T175" s="55"/>
      <c r="V175" s="9"/>
    </row>
    <row r="176" spans="2:22">
      <c r="B176" s="34" t="str">
        <f>'6) Year 1 Budget'!B139</f>
        <v>Textbooks and Instructional Supplies</v>
      </c>
      <c r="C176" s="89"/>
      <c r="E176" s="82">
        <f>'6) Year 1 Budget'!E139</f>
        <v>21000</v>
      </c>
      <c r="F176" s="65">
        <f>$E176/12</f>
        <v>1750</v>
      </c>
      <c r="G176" s="65">
        <f t="shared" ref="G176:Q190" si="86">$E176/12</f>
        <v>1750</v>
      </c>
      <c r="H176" s="65">
        <f t="shared" si="86"/>
        <v>1750</v>
      </c>
      <c r="I176" s="65">
        <f t="shared" si="86"/>
        <v>1750</v>
      </c>
      <c r="J176" s="65">
        <f t="shared" si="86"/>
        <v>1750</v>
      </c>
      <c r="K176" s="65">
        <f t="shared" si="86"/>
        <v>1750</v>
      </c>
      <c r="L176" s="65">
        <f t="shared" si="86"/>
        <v>1750</v>
      </c>
      <c r="M176" s="65">
        <f t="shared" si="86"/>
        <v>1750</v>
      </c>
      <c r="N176" s="65">
        <f t="shared" si="86"/>
        <v>1750</v>
      </c>
      <c r="O176" s="65">
        <f t="shared" si="86"/>
        <v>1750</v>
      </c>
      <c r="P176" s="65">
        <f t="shared" si="86"/>
        <v>1750</v>
      </c>
      <c r="Q176" s="65">
        <f t="shared" si="86"/>
        <v>1750</v>
      </c>
      <c r="R176" s="58">
        <f>SUM(F176:Q176)</f>
        <v>21000</v>
      </c>
      <c r="S176" s="58">
        <f>E176-R176</f>
        <v>0</v>
      </c>
      <c r="T176" s="106" t="s">
        <v>149</v>
      </c>
      <c r="V176" s="9"/>
    </row>
    <row r="177" spans="2:22">
      <c r="B177" s="34" t="str">
        <f>'6) Year 1 Budget'!B140</f>
        <v>Education Software</v>
      </c>
      <c r="C177" s="89"/>
      <c r="E177" s="82">
        <f>'6) Year 1 Budget'!E140</f>
        <v>37702</v>
      </c>
      <c r="F177" s="65">
        <f t="shared" ref="F177:F190" si="87">$E177/12</f>
        <v>3141.8333333333335</v>
      </c>
      <c r="G177" s="65">
        <f t="shared" si="86"/>
        <v>3141.8333333333335</v>
      </c>
      <c r="H177" s="65">
        <f t="shared" si="86"/>
        <v>3141.8333333333335</v>
      </c>
      <c r="I177" s="65">
        <f t="shared" si="86"/>
        <v>3141.8333333333335</v>
      </c>
      <c r="J177" s="65">
        <f t="shared" si="86"/>
        <v>3141.8333333333335</v>
      </c>
      <c r="K177" s="65">
        <f t="shared" si="86"/>
        <v>3141.8333333333335</v>
      </c>
      <c r="L177" s="65">
        <f t="shared" si="86"/>
        <v>3141.8333333333335</v>
      </c>
      <c r="M177" s="65">
        <f t="shared" si="86"/>
        <v>3141.8333333333335</v>
      </c>
      <c r="N177" s="65">
        <f t="shared" si="86"/>
        <v>3141.8333333333335</v>
      </c>
      <c r="O177" s="65">
        <f t="shared" si="86"/>
        <v>3141.8333333333335</v>
      </c>
      <c r="P177" s="65">
        <f t="shared" si="86"/>
        <v>3141.8333333333335</v>
      </c>
      <c r="Q177" s="65">
        <f t="shared" si="86"/>
        <v>3141.8333333333335</v>
      </c>
      <c r="R177" s="58">
        <f>SUM(F177:Q177)</f>
        <v>37702</v>
      </c>
      <c r="S177" s="58">
        <f>E177-R177</f>
        <v>0</v>
      </c>
      <c r="T177" s="106" t="s">
        <v>150</v>
      </c>
      <c r="V177" s="9"/>
    </row>
    <row r="178" spans="2:22">
      <c r="B178" s="34" t="str">
        <f>'6) Year 1 Budget'!B141</f>
        <v>Student Supplies</v>
      </c>
      <c r="C178" s="89"/>
      <c r="E178" s="82">
        <f>'6) Year 1 Budget'!E141</f>
        <v>36833</v>
      </c>
      <c r="F178" s="65">
        <f t="shared" si="87"/>
        <v>3069.4166666666665</v>
      </c>
      <c r="G178" s="65">
        <f t="shared" si="86"/>
        <v>3069.4166666666665</v>
      </c>
      <c r="H178" s="65">
        <f t="shared" si="86"/>
        <v>3069.4166666666665</v>
      </c>
      <c r="I178" s="65">
        <f t="shared" si="86"/>
        <v>3069.4166666666665</v>
      </c>
      <c r="J178" s="65">
        <f t="shared" si="86"/>
        <v>3069.4166666666665</v>
      </c>
      <c r="K178" s="65">
        <f t="shared" si="86"/>
        <v>3069.4166666666665</v>
      </c>
      <c r="L178" s="65">
        <f t="shared" si="86"/>
        <v>3069.4166666666665</v>
      </c>
      <c r="M178" s="65">
        <f t="shared" si="86"/>
        <v>3069.4166666666665</v>
      </c>
      <c r="N178" s="65">
        <f t="shared" si="86"/>
        <v>3069.4166666666665</v>
      </c>
      <c r="O178" s="65">
        <f t="shared" si="86"/>
        <v>3069.4166666666665</v>
      </c>
      <c r="P178" s="65">
        <f t="shared" si="86"/>
        <v>3069.4166666666665</v>
      </c>
      <c r="Q178" s="65">
        <f t="shared" si="86"/>
        <v>3069.4166666666665</v>
      </c>
      <c r="R178" s="58">
        <f>SUM(F178:Q178)</f>
        <v>36833</v>
      </c>
      <c r="S178" s="58">
        <f>E178-R178</f>
        <v>0</v>
      </c>
      <c r="T178" s="106" t="s">
        <v>151</v>
      </c>
      <c r="V178" s="9"/>
    </row>
    <row r="179" spans="2:22">
      <c r="B179" s="34" t="str">
        <f>'6) Year 1 Budget'!B142</f>
        <v>Faculty Supplies</v>
      </c>
      <c r="C179" s="89"/>
      <c r="E179" s="82">
        <f>'6) Year 1 Budget'!E142</f>
        <v>15000</v>
      </c>
      <c r="F179" s="65">
        <f t="shared" si="87"/>
        <v>1250</v>
      </c>
      <c r="G179" s="65">
        <f t="shared" si="86"/>
        <v>1250</v>
      </c>
      <c r="H179" s="65">
        <f t="shared" si="86"/>
        <v>1250</v>
      </c>
      <c r="I179" s="65">
        <f t="shared" si="86"/>
        <v>1250</v>
      </c>
      <c r="J179" s="65">
        <f t="shared" si="86"/>
        <v>1250</v>
      </c>
      <c r="K179" s="65">
        <f t="shared" si="86"/>
        <v>1250</v>
      </c>
      <c r="L179" s="65">
        <f t="shared" si="86"/>
        <v>1250</v>
      </c>
      <c r="M179" s="65">
        <f t="shared" si="86"/>
        <v>1250</v>
      </c>
      <c r="N179" s="65">
        <f t="shared" si="86"/>
        <v>1250</v>
      </c>
      <c r="O179" s="65">
        <f t="shared" si="86"/>
        <v>1250</v>
      </c>
      <c r="P179" s="65">
        <f t="shared" si="86"/>
        <v>1250</v>
      </c>
      <c r="Q179" s="65">
        <f t="shared" si="86"/>
        <v>1250</v>
      </c>
      <c r="R179" s="58">
        <f t="shared" ref="R179:R185" si="88">SUM(F179:Q179)</f>
        <v>15000</v>
      </c>
      <c r="S179" s="58">
        <f t="shared" ref="S179:S185" si="89">E179-R179</f>
        <v>0</v>
      </c>
      <c r="T179" s="106" t="s">
        <v>152</v>
      </c>
      <c r="V179" s="9"/>
    </row>
    <row r="180" spans="2:22">
      <c r="B180" s="34" t="str">
        <f>'6) Year 1 Budget'!B143</f>
        <v>Library Books</v>
      </c>
      <c r="C180" s="89"/>
      <c r="E180" s="82">
        <f>'6) Year 1 Budget'!E143</f>
        <v>15000</v>
      </c>
      <c r="F180" s="65">
        <f t="shared" si="87"/>
        <v>1250</v>
      </c>
      <c r="G180" s="65">
        <f t="shared" si="86"/>
        <v>1250</v>
      </c>
      <c r="H180" s="65">
        <f t="shared" si="86"/>
        <v>1250</v>
      </c>
      <c r="I180" s="65">
        <f t="shared" si="86"/>
        <v>1250</v>
      </c>
      <c r="J180" s="65">
        <f t="shared" si="86"/>
        <v>1250</v>
      </c>
      <c r="K180" s="65">
        <f t="shared" si="86"/>
        <v>1250</v>
      </c>
      <c r="L180" s="65">
        <f t="shared" si="86"/>
        <v>1250</v>
      </c>
      <c r="M180" s="65">
        <f t="shared" si="86"/>
        <v>1250</v>
      </c>
      <c r="N180" s="65">
        <f t="shared" si="86"/>
        <v>1250</v>
      </c>
      <c r="O180" s="65">
        <f t="shared" si="86"/>
        <v>1250</v>
      </c>
      <c r="P180" s="65">
        <f t="shared" si="86"/>
        <v>1250</v>
      </c>
      <c r="Q180" s="65">
        <f t="shared" si="86"/>
        <v>1250</v>
      </c>
      <c r="R180" s="58">
        <f t="shared" si="88"/>
        <v>15000</v>
      </c>
      <c r="S180" s="58">
        <f t="shared" si="89"/>
        <v>0</v>
      </c>
      <c r="T180" s="106" t="s">
        <v>153</v>
      </c>
      <c r="V180" s="9"/>
    </row>
    <row r="181" spans="2:22">
      <c r="B181" s="34" t="str">
        <f>'6) Year 1 Budget'!B144</f>
        <v>Testing &amp; Evaluation</v>
      </c>
      <c r="C181" s="89"/>
      <c r="E181" s="82">
        <f>'6) Year 1 Budget'!E144</f>
        <v>5000</v>
      </c>
      <c r="F181" s="65">
        <f t="shared" si="87"/>
        <v>416.66666666666669</v>
      </c>
      <c r="G181" s="65">
        <f t="shared" si="86"/>
        <v>416.66666666666669</v>
      </c>
      <c r="H181" s="65">
        <f t="shared" si="86"/>
        <v>416.66666666666669</v>
      </c>
      <c r="I181" s="65">
        <f t="shared" si="86"/>
        <v>416.66666666666669</v>
      </c>
      <c r="J181" s="65">
        <f t="shared" si="86"/>
        <v>416.66666666666669</v>
      </c>
      <c r="K181" s="65">
        <f t="shared" si="86"/>
        <v>416.66666666666669</v>
      </c>
      <c r="L181" s="65">
        <f t="shared" si="86"/>
        <v>416.66666666666669</v>
      </c>
      <c r="M181" s="65">
        <f t="shared" si="86"/>
        <v>416.66666666666669</v>
      </c>
      <c r="N181" s="65">
        <f t="shared" si="86"/>
        <v>416.66666666666669</v>
      </c>
      <c r="O181" s="65">
        <f t="shared" si="86"/>
        <v>416.66666666666669</v>
      </c>
      <c r="P181" s="65">
        <f t="shared" si="86"/>
        <v>416.66666666666669</v>
      </c>
      <c r="Q181" s="65">
        <f t="shared" si="86"/>
        <v>416.66666666666669</v>
      </c>
      <c r="R181" s="58">
        <f t="shared" si="88"/>
        <v>5000</v>
      </c>
      <c r="S181" s="58">
        <f t="shared" si="89"/>
        <v>0</v>
      </c>
      <c r="T181" s="106" t="s">
        <v>154</v>
      </c>
      <c r="V181" s="9"/>
    </row>
    <row r="182" spans="2:22">
      <c r="B182" s="34" t="str">
        <f>'6) Year 1 Budget'!B145</f>
        <v>Student Laptops</v>
      </c>
      <c r="C182" s="89"/>
      <c r="E182" s="82">
        <f>'6) Year 1 Budget'!E145</f>
        <v>31500</v>
      </c>
      <c r="F182" s="65">
        <f t="shared" si="87"/>
        <v>2625</v>
      </c>
      <c r="G182" s="65">
        <f t="shared" si="86"/>
        <v>2625</v>
      </c>
      <c r="H182" s="65">
        <f t="shared" si="86"/>
        <v>2625</v>
      </c>
      <c r="I182" s="65">
        <f t="shared" si="86"/>
        <v>2625</v>
      </c>
      <c r="J182" s="65">
        <f t="shared" si="86"/>
        <v>2625</v>
      </c>
      <c r="K182" s="65">
        <f t="shared" si="86"/>
        <v>2625</v>
      </c>
      <c r="L182" s="65">
        <f t="shared" si="86"/>
        <v>2625</v>
      </c>
      <c r="M182" s="65">
        <f t="shared" si="86"/>
        <v>2625</v>
      </c>
      <c r="N182" s="65">
        <f t="shared" si="86"/>
        <v>2625</v>
      </c>
      <c r="O182" s="65">
        <f t="shared" si="86"/>
        <v>2625</v>
      </c>
      <c r="P182" s="65">
        <f t="shared" si="86"/>
        <v>2625</v>
      </c>
      <c r="Q182" s="65">
        <f t="shared" si="86"/>
        <v>2625</v>
      </c>
      <c r="R182" s="58">
        <f t="shared" si="88"/>
        <v>31500</v>
      </c>
      <c r="S182" s="58">
        <f t="shared" si="89"/>
        <v>0</v>
      </c>
      <c r="T182" s="106" t="s">
        <v>155</v>
      </c>
      <c r="V182" s="9"/>
    </row>
    <row r="183" spans="2:22">
      <c r="B183" s="34" t="str">
        <f>'6) Year 1 Budget'!B146</f>
        <v>Faculty Laptops</v>
      </c>
      <c r="C183" s="89"/>
      <c r="E183" s="82">
        <f>'6) Year 1 Budget'!E146</f>
        <v>31500</v>
      </c>
      <c r="F183" s="65">
        <f t="shared" si="87"/>
        <v>2625</v>
      </c>
      <c r="G183" s="65">
        <f t="shared" si="86"/>
        <v>2625</v>
      </c>
      <c r="H183" s="65">
        <f t="shared" si="86"/>
        <v>2625</v>
      </c>
      <c r="I183" s="65">
        <f t="shared" si="86"/>
        <v>2625</v>
      </c>
      <c r="J183" s="65">
        <f t="shared" si="86"/>
        <v>2625</v>
      </c>
      <c r="K183" s="65">
        <f t="shared" si="86"/>
        <v>2625</v>
      </c>
      <c r="L183" s="65">
        <f t="shared" si="86"/>
        <v>2625</v>
      </c>
      <c r="M183" s="65">
        <f t="shared" si="86"/>
        <v>2625</v>
      </c>
      <c r="N183" s="65">
        <f t="shared" si="86"/>
        <v>2625</v>
      </c>
      <c r="O183" s="65">
        <f t="shared" si="86"/>
        <v>2625</v>
      </c>
      <c r="P183" s="65">
        <f t="shared" si="86"/>
        <v>2625</v>
      </c>
      <c r="Q183" s="65">
        <f t="shared" si="86"/>
        <v>2625</v>
      </c>
      <c r="R183" s="58">
        <f t="shared" si="88"/>
        <v>31500</v>
      </c>
      <c r="S183" s="58">
        <f t="shared" si="89"/>
        <v>0</v>
      </c>
      <c r="T183" s="106" t="s">
        <v>156</v>
      </c>
      <c r="V183" s="9"/>
    </row>
    <row r="184" spans="2:22">
      <c r="B184" s="34" t="str">
        <f>'6) Year 1 Budget'!B147</f>
        <v>Office Supplies</v>
      </c>
      <c r="C184" s="89"/>
      <c r="E184" s="82">
        <f>'6) Year 1 Budget'!E147</f>
        <v>19200</v>
      </c>
      <c r="F184" s="65">
        <f t="shared" si="87"/>
        <v>1600</v>
      </c>
      <c r="G184" s="65">
        <f t="shared" si="86"/>
        <v>1600</v>
      </c>
      <c r="H184" s="65">
        <f t="shared" si="86"/>
        <v>1600</v>
      </c>
      <c r="I184" s="65">
        <f t="shared" si="86"/>
        <v>1600</v>
      </c>
      <c r="J184" s="65">
        <f t="shared" si="86"/>
        <v>1600</v>
      </c>
      <c r="K184" s="65">
        <f t="shared" si="86"/>
        <v>1600</v>
      </c>
      <c r="L184" s="65">
        <f t="shared" si="86"/>
        <v>1600</v>
      </c>
      <c r="M184" s="65">
        <f t="shared" si="86"/>
        <v>1600</v>
      </c>
      <c r="N184" s="65">
        <f t="shared" si="86"/>
        <v>1600</v>
      </c>
      <c r="O184" s="65">
        <f t="shared" si="86"/>
        <v>1600</v>
      </c>
      <c r="P184" s="65">
        <f t="shared" si="86"/>
        <v>1600</v>
      </c>
      <c r="Q184" s="65">
        <f t="shared" si="86"/>
        <v>1600</v>
      </c>
      <c r="R184" s="58">
        <f t="shared" si="88"/>
        <v>19200</v>
      </c>
      <c r="S184" s="58">
        <f t="shared" si="89"/>
        <v>0</v>
      </c>
      <c r="T184" s="106" t="s">
        <v>157</v>
      </c>
      <c r="V184" s="9"/>
    </row>
    <row r="185" spans="2:22">
      <c r="B185" s="34" t="str">
        <f>'6) Year 1 Budget'!B148</f>
        <v>Printing Paper</v>
      </c>
      <c r="C185" s="89"/>
      <c r="E185" s="82">
        <f>'6) Year 1 Budget'!E148</f>
        <v>0</v>
      </c>
      <c r="F185" s="65">
        <f t="shared" si="87"/>
        <v>0</v>
      </c>
      <c r="G185" s="65">
        <f t="shared" si="86"/>
        <v>0</v>
      </c>
      <c r="H185" s="65">
        <f t="shared" si="86"/>
        <v>0</v>
      </c>
      <c r="I185" s="65">
        <f t="shared" si="86"/>
        <v>0</v>
      </c>
      <c r="J185" s="65">
        <f t="shared" si="86"/>
        <v>0</v>
      </c>
      <c r="K185" s="65">
        <f t="shared" si="86"/>
        <v>0</v>
      </c>
      <c r="L185" s="65">
        <f t="shared" si="86"/>
        <v>0</v>
      </c>
      <c r="M185" s="65">
        <f t="shared" si="86"/>
        <v>0</v>
      </c>
      <c r="N185" s="65">
        <f t="shared" si="86"/>
        <v>0</v>
      </c>
      <c r="O185" s="65">
        <f t="shared" si="86"/>
        <v>0</v>
      </c>
      <c r="P185" s="65">
        <f t="shared" si="86"/>
        <v>0</v>
      </c>
      <c r="Q185" s="65">
        <f t="shared" si="86"/>
        <v>0</v>
      </c>
      <c r="R185" s="58">
        <f t="shared" si="88"/>
        <v>0</v>
      </c>
      <c r="S185" s="58">
        <f t="shared" si="89"/>
        <v>0</v>
      </c>
      <c r="T185" s="106" t="s">
        <v>158</v>
      </c>
      <c r="V185" s="9"/>
    </row>
    <row r="186" spans="2:22">
      <c r="B186" s="34" t="str">
        <f>'6) Year 1 Budget'!B149</f>
        <v>Marketing Materials</v>
      </c>
      <c r="C186" s="89"/>
      <c r="E186" s="82">
        <f>'6) Year 1 Budget'!E149</f>
        <v>19770</v>
      </c>
      <c r="F186" s="65">
        <f t="shared" si="87"/>
        <v>1647.5</v>
      </c>
      <c r="G186" s="65">
        <f t="shared" si="86"/>
        <v>1647.5</v>
      </c>
      <c r="H186" s="65">
        <f t="shared" si="86"/>
        <v>1647.5</v>
      </c>
      <c r="I186" s="65">
        <f t="shared" si="86"/>
        <v>1647.5</v>
      </c>
      <c r="J186" s="65">
        <f t="shared" si="86"/>
        <v>1647.5</v>
      </c>
      <c r="K186" s="65">
        <f t="shared" si="86"/>
        <v>1647.5</v>
      </c>
      <c r="L186" s="65">
        <f t="shared" si="86"/>
        <v>1647.5</v>
      </c>
      <c r="M186" s="65">
        <f t="shared" si="86"/>
        <v>1647.5</v>
      </c>
      <c r="N186" s="65">
        <f t="shared" si="86"/>
        <v>1647.5</v>
      </c>
      <c r="O186" s="65">
        <f t="shared" si="86"/>
        <v>1647.5</v>
      </c>
      <c r="P186" s="65">
        <f t="shared" si="86"/>
        <v>1647.5</v>
      </c>
      <c r="Q186" s="65">
        <f t="shared" si="86"/>
        <v>1647.5</v>
      </c>
      <c r="R186" s="58">
        <f>SUM(F186:Q186)</f>
        <v>19770</v>
      </c>
      <c r="S186" s="58">
        <f>E186-R186</f>
        <v>0</v>
      </c>
      <c r="T186" s="106" t="s">
        <v>159</v>
      </c>
      <c r="V186" s="9"/>
    </row>
    <row r="187" spans="2:22">
      <c r="B187" s="34" t="str">
        <f>'6) Year 1 Budget'!B150</f>
        <v>Student Uniforms</v>
      </c>
      <c r="C187" s="89"/>
      <c r="E187" s="82">
        <f>'6) Year 1 Budget'!E150</f>
        <v>6500</v>
      </c>
      <c r="F187" s="65">
        <f t="shared" si="87"/>
        <v>541.66666666666663</v>
      </c>
      <c r="G187" s="65">
        <f t="shared" si="86"/>
        <v>541.66666666666663</v>
      </c>
      <c r="H187" s="65">
        <f t="shared" si="86"/>
        <v>541.66666666666663</v>
      </c>
      <c r="I187" s="65">
        <f t="shared" si="86"/>
        <v>541.66666666666663</v>
      </c>
      <c r="J187" s="65">
        <f t="shared" si="86"/>
        <v>541.66666666666663</v>
      </c>
      <c r="K187" s="65">
        <f t="shared" si="86"/>
        <v>541.66666666666663</v>
      </c>
      <c r="L187" s="65">
        <f t="shared" si="86"/>
        <v>541.66666666666663</v>
      </c>
      <c r="M187" s="65">
        <f t="shared" si="86"/>
        <v>541.66666666666663</v>
      </c>
      <c r="N187" s="65">
        <f t="shared" si="86"/>
        <v>541.66666666666663</v>
      </c>
      <c r="O187" s="65">
        <f t="shared" si="86"/>
        <v>541.66666666666663</v>
      </c>
      <c r="P187" s="65">
        <f t="shared" si="86"/>
        <v>541.66666666666663</v>
      </c>
      <c r="Q187" s="65">
        <f t="shared" si="86"/>
        <v>541.66666666666663</v>
      </c>
      <c r="R187" s="58">
        <f>SUM(F187:Q187)</f>
        <v>6500.0000000000009</v>
      </c>
      <c r="S187" s="58">
        <f>E187-R187</f>
        <v>0</v>
      </c>
      <c r="T187" s="106" t="s">
        <v>160</v>
      </c>
      <c r="V187" s="9"/>
    </row>
    <row r="188" spans="2:22">
      <c r="B188" s="34" t="str">
        <f>'6) Year 1 Budget'!B151</f>
        <v>Gifts &amp; Awards - Students</v>
      </c>
      <c r="C188" s="89"/>
      <c r="E188" s="82">
        <f>'6) Year 1 Budget'!E151</f>
        <v>0</v>
      </c>
      <c r="F188" s="65">
        <f t="shared" si="87"/>
        <v>0</v>
      </c>
      <c r="G188" s="65">
        <f t="shared" si="86"/>
        <v>0</v>
      </c>
      <c r="H188" s="65">
        <f t="shared" si="86"/>
        <v>0</v>
      </c>
      <c r="I188" s="65">
        <f t="shared" si="86"/>
        <v>0</v>
      </c>
      <c r="J188" s="65">
        <f t="shared" si="86"/>
        <v>0</v>
      </c>
      <c r="K188" s="65">
        <f t="shared" si="86"/>
        <v>0</v>
      </c>
      <c r="L188" s="65">
        <f t="shared" si="86"/>
        <v>0</v>
      </c>
      <c r="M188" s="65">
        <f t="shared" si="86"/>
        <v>0</v>
      </c>
      <c r="N188" s="65">
        <f t="shared" si="86"/>
        <v>0</v>
      </c>
      <c r="O188" s="65">
        <f t="shared" si="86"/>
        <v>0</v>
      </c>
      <c r="P188" s="65">
        <f t="shared" si="86"/>
        <v>0</v>
      </c>
      <c r="Q188" s="65">
        <f t="shared" si="86"/>
        <v>0</v>
      </c>
      <c r="R188" s="58">
        <f>SUM(F188:Q188)</f>
        <v>0</v>
      </c>
      <c r="S188" s="58">
        <f>E188-R188</f>
        <v>0</v>
      </c>
      <c r="T188" s="106" t="s">
        <v>161</v>
      </c>
      <c r="V188" s="9"/>
    </row>
    <row r="189" spans="2:22">
      <c r="B189" s="34" t="str">
        <f>'6) Year 1 Budget'!B152</f>
        <v>Gifts &amp; Awards - Teachers and Staff</v>
      </c>
      <c r="C189" s="89"/>
      <c r="E189" s="82">
        <f>'6) Year 1 Budget'!E152</f>
        <v>0</v>
      </c>
      <c r="F189" s="65">
        <f t="shared" si="87"/>
        <v>0</v>
      </c>
      <c r="G189" s="65">
        <f t="shared" si="86"/>
        <v>0</v>
      </c>
      <c r="H189" s="65">
        <f t="shared" si="86"/>
        <v>0</v>
      </c>
      <c r="I189" s="65">
        <f t="shared" si="86"/>
        <v>0</v>
      </c>
      <c r="J189" s="65">
        <f t="shared" si="86"/>
        <v>0</v>
      </c>
      <c r="K189" s="65">
        <f t="shared" si="86"/>
        <v>0</v>
      </c>
      <c r="L189" s="65">
        <f t="shared" si="86"/>
        <v>0</v>
      </c>
      <c r="M189" s="65">
        <f t="shared" si="86"/>
        <v>0</v>
      </c>
      <c r="N189" s="65">
        <f t="shared" si="86"/>
        <v>0</v>
      </c>
      <c r="O189" s="65">
        <f t="shared" si="86"/>
        <v>0</v>
      </c>
      <c r="P189" s="65">
        <f t="shared" si="86"/>
        <v>0</v>
      </c>
      <c r="Q189" s="65">
        <f t="shared" si="86"/>
        <v>0</v>
      </c>
      <c r="R189" s="58">
        <f t="shared" ref="R189:R190" si="90">SUM(F189:Q189)</f>
        <v>0</v>
      </c>
      <c r="S189" s="58">
        <f t="shared" ref="S189:S190" si="91">E189-R189</f>
        <v>0</v>
      </c>
      <c r="T189" s="106" t="s">
        <v>162</v>
      </c>
      <c r="V189" s="9"/>
    </row>
    <row r="190" spans="2:22">
      <c r="B190" s="34" t="str">
        <f>'6) Year 1 Budget'!B153</f>
        <v>Health Supplies</v>
      </c>
      <c r="C190" s="89"/>
      <c r="E190" s="82">
        <f>'6) Year 1 Budget'!E153</f>
        <v>500</v>
      </c>
      <c r="F190" s="65">
        <f t="shared" si="87"/>
        <v>41.666666666666664</v>
      </c>
      <c r="G190" s="65">
        <f t="shared" si="86"/>
        <v>41.666666666666664</v>
      </c>
      <c r="H190" s="65">
        <f t="shared" si="86"/>
        <v>41.666666666666664</v>
      </c>
      <c r="I190" s="65">
        <f t="shared" si="86"/>
        <v>41.666666666666664</v>
      </c>
      <c r="J190" s="65">
        <f t="shared" si="86"/>
        <v>41.666666666666664</v>
      </c>
      <c r="K190" s="65">
        <f t="shared" si="86"/>
        <v>41.666666666666664</v>
      </c>
      <c r="L190" s="65">
        <f t="shared" si="86"/>
        <v>41.666666666666664</v>
      </c>
      <c r="M190" s="65">
        <f t="shared" si="86"/>
        <v>41.666666666666664</v>
      </c>
      <c r="N190" s="65">
        <f t="shared" si="86"/>
        <v>41.666666666666664</v>
      </c>
      <c r="O190" s="65">
        <f t="shared" si="86"/>
        <v>41.666666666666664</v>
      </c>
      <c r="P190" s="65">
        <f t="shared" si="86"/>
        <v>41.666666666666664</v>
      </c>
      <c r="Q190" s="65">
        <f t="shared" si="86"/>
        <v>41.666666666666664</v>
      </c>
      <c r="R190" s="58">
        <f t="shared" si="90"/>
        <v>500.00000000000006</v>
      </c>
      <c r="S190" s="58">
        <f t="shared" si="91"/>
        <v>0</v>
      </c>
      <c r="T190" s="106" t="s">
        <v>163</v>
      </c>
      <c r="V190" s="9"/>
    </row>
    <row r="191" spans="2:22" ht="15.75" thickBot="1">
      <c r="B191" s="134"/>
      <c r="C191" s="135"/>
      <c r="D191" s="135"/>
      <c r="E191" s="136"/>
      <c r="F191" s="136"/>
      <c r="G191" s="136"/>
      <c r="H191" s="136"/>
      <c r="I191" s="136"/>
      <c r="J191" s="136"/>
      <c r="K191" s="136"/>
      <c r="L191" s="136"/>
      <c r="M191" s="136"/>
      <c r="N191" s="136"/>
      <c r="O191" s="136"/>
      <c r="P191" s="136"/>
      <c r="Q191" s="136"/>
      <c r="R191" s="136"/>
      <c r="S191" s="136"/>
      <c r="T191" s="136"/>
      <c r="U191" s="21"/>
      <c r="V191" s="22"/>
    </row>
    <row r="192" spans="2:22">
      <c r="B192" s="29" t="s">
        <v>164</v>
      </c>
      <c r="C192" s="42"/>
      <c r="D192" s="42"/>
      <c r="E192" s="55"/>
      <c r="F192" s="55"/>
      <c r="G192" s="55"/>
      <c r="H192" s="55"/>
      <c r="I192" s="55"/>
      <c r="J192" s="55"/>
      <c r="K192" s="55"/>
      <c r="L192" s="55"/>
      <c r="M192" s="55"/>
      <c r="N192" s="55"/>
      <c r="O192" s="55"/>
      <c r="P192" s="55"/>
      <c r="Q192" s="55"/>
      <c r="R192" s="55"/>
      <c r="S192" s="55"/>
      <c r="T192" s="55"/>
      <c r="V192" s="9"/>
    </row>
    <row r="193" spans="2:22">
      <c r="B193" s="34" t="str">
        <f>'6) Year 1 Budget'!B156</f>
        <v>Rent</v>
      </c>
      <c r="C193" s="89"/>
      <c r="E193" s="82">
        <f>'6) Year 1 Budget'!E156</f>
        <v>85000</v>
      </c>
      <c r="F193" s="65">
        <f>$E193/12</f>
        <v>7083.333333333333</v>
      </c>
      <c r="G193" s="65">
        <f t="shared" ref="G193:Q206" si="92">$E193/12</f>
        <v>7083.333333333333</v>
      </c>
      <c r="H193" s="65">
        <f t="shared" si="92"/>
        <v>7083.333333333333</v>
      </c>
      <c r="I193" s="65">
        <f t="shared" si="92"/>
        <v>7083.333333333333</v>
      </c>
      <c r="J193" s="65">
        <f t="shared" si="92"/>
        <v>7083.333333333333</v>
      </c>
      <c r="K193" s="65">
        <f t="shared" si="92"/>
        <v>7083.333333333333</v>
      </c>
      <c r="L193" s="65">
        <f t="shared" si="92"/>
        <v>7083.333333333333</v>
      </c>
      <c r="M193" s="65">
        <f t="shared" si="92"/>
        <v>7083.333333333333</v>
      </c>
      <c r="N193" s="65">
        <f t="shared" si="92"/>
        <v>7083.333333333333</v>
      </c>
      <c r="O193" s="65">
        <f t="shared" si="92"/>
        <v>7083.333333333333</v>
      </c>
      <c r="P193" s="65">
        <f t="shared" si="92"/>
        <v>7083.333333333333</v>
      </c>
      <c r="Q193" s="65">
        <f t="shared" si="92"/>
        <v>7083.333333333333</v>
      </c>
      <c r="R193" s="58">
        <f>SUM(F193:Q193)</f>
        <v>85000</v>
      </c>
      <c r="S193" s="58">
        <f>E193-R193</f>
        <v>0</v>
      </c>
      <c r="T193" s="106" t="s">
        <v>165</v>
      </c>
      <c r="V193" s="9"/>
    </row>
    <row r="194" spans="2:22">
      <c r="B194" s="34" t="str">
        <f>'6) Year 1 Budget'!B157</f>
        <v>Utilities</v>
      </c>
      <c r="C194" s="89"/>
      <c r="E194" s="82">
        <f>'6) Year 1 Budget'!E157</f>
        <v>10000</v>
      </c>
      <c r="F194" s="65">
        <f t="shared" ref="F194:Q206" si="93">$E194/12</f>
        <v>833.33333333333337</v>
      </c>
      <c r="G194" s="65">
        <f t="shared" si="93"/>
        <v>833.33333333333337</v>
      </c>
      <c r="H194" s="65">
        <f t="shared" si="93"/>
        <v>833.33333333333337</v>
      </c>
      <c r="I194" s="65">
        <f t="shared" si="93"/>
        <v>833.33333333333337</v>
      </c>
      <c r="J194" s="65">
        <f t="shared" si="93"/>
        <v>833.33333333333337</v>
      </c>
      <c r="K194" s="65">
        <f t="shared" si="93"/>
        <v>833.33333333333337</v>
      </c>
      <c r="L194" s="65">
        <f t="shared" si="93"/>
        <v>833.33333333333337</v>
      </c>
      <c r="M194" s="65">
        <f t="shared" si="93"/>
        <v>833.33333333333337</v>
      </c>
      <c r="N194" s="65">
        <f t="shared" si="93"/>
        <v>833.33333333333337</v>
      </c>
      <c r="O194" s="65">
        <f t="shared" si="93"/>
        <v>833.33333333333337</v>
      </c>
      <c r="P194" s="65">
        <f t="shared" si="93"/>
        <v>833.33333333333337</v>
      </c>
      <c r="Q194" s="65">
        <f t="shared" si="93"/>
        <v>833.33333333333337</v>
      </c>
      <c r="R194" s="58">
        <f>SUM(F194:Q194)</f>
        <v>10000</v>
      </c>
      <c r="S194" s="58">
        <f>E194-R194</f>
        <v>0</v>
      </c>
      <c r="T194" s="106" t="s">
        <v>166</v>
      </c>
      <c r="V194" s="9"/>
    </row>
    <row r="195" spans="2:22">
      <c r="B195" s="34" t="str">
        <f>'6) Year 1 Budget'!B158</f>
        <v xml:space="preserve">Custodial </v>
      </c>
      <c r="C195" s="89"/>
      <c r="E195" s="82">
        <f>'6) Year 1 Budget'!E158</f>
        <v>10000</v>
      </c>
      <c r="F195" s="65">
        <f t="shared" si="93"/>
        <v>833.33333333333337</v>
      </c>
      <c r="G195" s="65">
        <f t="shared" si="92"/>
        <v>833.33333333333337</v>
      </c>
      <c r="H195" s="65">
        <f t="shared" si="92"/>
        <v>833.33333333333337</v>
      </c>
      <c r="I195" s="65">
        <f t="shared" si="92"/>
        <v>833.33333333333337</v>
      </c>
      <c r="J195" s="65">
        <f t="shared" si="92"/>
        <v>833.33333333333337</v>
      </c>
      <c r="K195" s="65">
        <f t="shared" si="92"/>
        <v>833.33333333333337</v>
      </c>
      <c r="L195" s="65">
        <f t="shared" si="92"/>
        <v>833.33333333333337</v>
      </c>
      <c r="M195" s="65">
        <f t="shared" si="92"/>
        <v>833.33333333333337</v>
      </c>
      <c r="N195" s="65">
        <f t="shared" si="92"/>
        <v>833.33333333333337</v>
      </c>
      <c r="O195" s="65">
        <f t="shared" si="92"/>
        <v>833.33333333333337</v>
      </c>
      <c r="P195" s="65">
        <f t="shared" si="92"/>
        <v>833.33333333333337</v>
      </c>
      <c r="Q195" s="65">
        <f t="shared" si="92"/>
        <v>833.33333333333337</v>
      </c>
      <c r="R195" s="58">
        <f>SUM(F195:Q195)</f>
        <v>10000</v>
      </c>
      <c r="S195" s="58">
        <f>E195-R195</f>
        <v>0</v>
      </c>
      <c r="T195" s="106" t="s">
        <v>167</v>
      </c>
      <c r="V195" s="9"/>
    </row>
    <row r="196" spans="2:22">
      <c r="B196" s="34" t="str">
        <f>'6) Year 1 Budget'!B159</f>
        <v>Waste</v>
      </c>
      <c r="C196" s="89"/>
      <c r="E196" s="82">
        <f>'6) Year 1 Budget'!E159</f>
        <v>2800</v>
      </c>
      <c r="F196" s="65">
        <f t="shared" si="93"/>
        <v>233.33333333333334</v>
      </c>
      <c r="G196" s="65">
        <f t="shared" si="93"/>
        <v>233.33333333333334</v>
      </c>
      <c r="H196" s="65">
        <f t="shared" si="93"/>
        <v>233.33333333333334</v>
      </c>
      <c r="I196" s="65">
        <f t="shared" si="93"/>
        <v>233.33333333333334</v>
      </c>
      <c r="J196" s="65">
        <f t="shared" si="93"/>
        <v>233.33333333333334</v>
      </c>
      <c r="K196" s="65">
        <f t="shared" si="93"/>
        <v>233.33333333333334</v>
      </c>
      <c r="L196" s="65">
        <f t="shared" si="93"/>
        <v>233.33333333333334</v>
      </c>
      <c r="M196" s="65">
        <f t="shared" si="93"/>
        <v>233.33333333333334</v>
      </c>
      <c r="N196" s="65">
        <f t="shared" si="93"/>
        <v>233.33333333333334</v>
      </c>
      <c r="O196" s="65">
        <f t="shared" si="93"/>
        <v>233.33333333333334</v>
      </c>
      <c r="P196" s="65">
        <f t="shared" si="93"/>
        <v>233.33333333333334</v>
      </c>
      <c r="Q196" s="65">
        <f t="shared" si="93"/>
        <v>233.33333333333334</v>
      </c>
      <c r="R196" s="58">
        <f t="shared" ref="R196:R202" si="94">SUM(F196:Q196)</f>
        <v>2800.0000000000005</v>
      </c>
      <c r="S196" s="58">
        <f t="shared" ref="S196:S202" si="95">E196-R196</f>
        <v>0</v>
      </c>
      <c r="T196" s="106" t="s">
        <v>168</v>
      </c>
      <c r="V196" s="9"/>
    </row>
    <row r="197" spans="2:22">
      <c r="B197" s="34" t="str">
        <f>'6) Year 1 Budget'!B160</f>
        <v>Faculty Furniture</v>
      </c>
      <c r="C197" s="89"/>
      <c r="E197" s="82">
        <f>'6) Year 1 Budget'!E160</f>
        <v>35000</v>
      </c>
      <c r="F197" s="65">
        <f t="shared" si="93"/>
        <v>2916.6666666666665</v>
      </c>
      <c r="G197" s="65">
        <f t="shared" si="92"/>
        <v>2916.6666666666665</v>
      </c>
      <c r="H197" s="65">
        <f t="shared" si="92"/>
        <v>2916.6666666666665</v>
      </c>
      <c r="I197" s="65">
        <f t="shared" si="92"/>
        <v>2916.6666666666665</v>
      </c>
      <c r="J197" s="65">
        <f t="shared" si="92"/>
        <v>2916.6666666666665</v>
      </c>
      <c r="K197" s="65">
        <f t="shared" si="92"/>
        <v>2916.6666666666665</v>
      </c>
      <c r="L197" s="65">
        <f t="shared" si="92"/>
        <v>2916.6666666666665</v>
      </c>
      <c r="M197" s="65">
        <f t="shared" si="92"/>
        <v>2916.6666666666665</v>
      </c>
      <c r="N197" s="65">
        <f t="shared" si="92"/>
        <v>2916.6666666666665</v>
      </c>
      <c r="O197" s="65">
        <f t="shared" si="92"/>
        <v>2916.6666666666665</v>
      </c>
      <c r="P197" s="65">
        <f t="shared" si="92"/>
        <v>2916.6666666666665</v>
      </c>
      <c r="Q197" s="65">
        <f t="shared" si="92"/>
        <v>2916.6666666666665</v>
      </c>
      <c r="R197" s="58">
        <f t="shared" si="94"/>
        <v>35000.000000000007</v>
      </c>
      <c r="S197" s="58">
        <f t="shared" si="95"/>
        <v>0</v>
      </c>
      <c r="T197" s="106" t="s">
        <v>169</v>
      </c>
      <c r="V197" s="9"/>
    </row>
    <row r="198" spans="2:22">
      <c r="B198" s="34" t="str">
        <f>'6) Year 1 Budget'!B161</f>
        <v>Student Furniture</v>
      </c>
      <c r="C198" s="89"/>
      <c r="E198" s="82">
        <f>'6) Year 1 Budget'!E161</f>
        <v>0</v>
      </c>
      <c r="F198" s="65">
        <f t="shared" si="93"/>
        <v>0</v>
      </c>
      <c r="G198" s="65">
        <f t="shared" si="93"/>
        <v>0</v>
      </c>
      <c r="H198" s="65">
        <f t="shared" si="93"/>
        <v>0</v>
      </c>
      <c r="I198" s="65">
        <f t="shared" si="93"/>
        <v>0</v>
      </c>
      <c r="J198" s="65">
        <f t="shared" si="93"/>
        <v>0</v>
      </c>
      <c r="K198" s="65">
        <f t="shared" si="93"/>
        <v>0</v>
      </c>
      <c r="L198" s="65">
        <f t="shared" si="93"/>
        <v>0</v>
      </c>
      <c r="M198" s="65">
        <f t="shared" si="93"/>
        <v>0</v>
      </c>
      <c r="N198" s="65">
        <f t="shared" si="93"/>
        <v>0</v>
      </c>
      <c r="O198" s="65">
        <f t="shared" si="93"/>
        <v>0</v>
      </c>
      <c r="P198" s="65">
        <f t="shared" si="93"/>
        <v>0</v>
      </c>
      <c r="Q198" s="65">
        <f t="shared" si="93"/>
        <v>0</v>
      </c>
      <c r="R198" s="58">
        <f t="shared" si="94"/>
        <v>0</v>
      </c>
      <c r="S198" s="58">
        <f t="shared" si="95"/>
        <v>0</v>
      </c>
      <c r="T198" s="106" t="s">
        <v>170</v>
      </c>
      <c r="V198" s="9"/>
    </row>
    <row r="199" spans="2:22">
      <c r="B199" s="34" t="str">
        <f>'6) Year 1 Budget'!B162</f>
        <v>Internet/Network Equipment</v>
      </c>
      <c r="C199" s="89"/>
      <c r="E199" s="82">
        <f>'6) Year 1 Budget'!E162</f>
        <v>20000</v>
      </c>
      <c r="F199" s="65">
        <f t="shared" si="93"/>
        <v>1666.6666666666667</v>
      </c>
      <c r="G199" s="65">
        <f t="shared" si="92"/>
        <v>1666.6666666666667</v>
      </c>
      <c r="H199" s="65">
        <f t="shared" si="92"/>
        <v>1666.6666666666667</v>
      </c>
      <c r="I199" s="65">
        <f t="shared" si="92"/>
        <v>1666.6666666666667</v>
      </c>
      <c r="J199" s="65">
        <f t="shared" si="92"/>
        <v>1666.6666666666667</v>
      </c>
      <c r="K199" s="65">
        <f t="shared" si="92"/>
        <v>1666.6666666666667</v>
      </c>
      <c r="L199" s="65">
        <f t="shared" si="92"/>
        <v>1666.6666666666667</v>
      </c>
      <c r="M199" s="65">
        <f t="shared" si="92"/>
        <v>1666.6666666666667</v>
      </c>
      <c r="N199" s="65">
        <f t="shared" si="92"/>
        <v>1666.6666666666667</v>
      </c>
      <c r="O199" s="65">
        <f t="shared" si="92"/>
        <v>1666.6666666666667</v>
      </c>
      <c r="P199" s="65">
        <f t="shared" si="92"/>
        <v>1666.6666666666667</v>
      </c>
      <c r="Q199" s="65">
        <f t="shared" si="92"/>
        <v>1666.6666666666667</v>
      </c>
      <c r="R199" s="58">
        <f t="shared" si="94"/>
        <v>20000</v>
      </c>
      <c r="S199" s="58">
        <f t="shared" si="95"/>
        <v>0</v>
      </c>
      <c r="T199" s="106" t="s">
        <v>171</v>
      </c>
      <c r="V199" s="9"/>
    </row>
    <row r="200" spans="2:22">
      <c r="B200" s="34" t="str">
        <f>'6) Year 1 Budget'!B163</f>
        <v>Other Equipment</v>
      </c>
      <c r="C200" s="89"/>
      <c r="E200" s="82">
        <f>'6) Year 1 Budget'!E163</f>
        <v>45000</v>
      </c>
      <c r="F200" s="65">
        <f t="shared" si="93"/>
        <v>3750</v>
      </c>
      <c r="G200" s="65">
        <f t="shared" si="93"/>
        <v>3750</v>
      </c>
      <c r="H200" s="65">
        <f t="shared" si="93"/>
        <v>3750</v>
      </c>
      <c r="I200" s="65">
        <f t="shared" si="93"/>
        <v>3750</v>
      </c>
      <c r="J200" s="65">
        <f t="shared" si="93"/>
        <v>3750</v>
      </c>
      <c r="K200" s="65">
        <f t="shared" si="93"/>
        <v>3750</v>
      </c>
      <c r="L200" s="65">
        <f t="shared" si="93"/>
        <v>3750</v>
      </c>
      <c r="M200" s="65">
        <f t="shared" si="93"/>
        <v>3750</v>
      </c>
      <c r="N200" s="65">
        <f t="shared" si="93"/>
        <v>3750</v>
      </c>
      <c r="O200" s="65">
        <f t="shared" si="93"/>
        <v>3750</v>
      </c>
      <c r="P200" s="65">
        <f t="shared" si="93"/>
        <v>3750</v>
      </c>
      <c r="Q200" s="65">
        <f t="shared" si="93"/>
        <v>3750</v>
      </c>
      <c r="R200" s="58">
        <f t="shared" si="94"/>
        <v>45000</v>
      </c>
      <c r="S200" s="58">
        <f t="shared" si="95"/>
        <v>0</v>
      </c>
      <c r="T200" s="106" t="s">
        <v>172</v>
      </c>
      <c r="V200" s="9"/>
    </row>
    <row r="201" spans="2:22">
      <c r="B201" s="34" t="str">
        <f>'6) Year 1 Budget'!B164</f>
        <v>Building Decorum</v>
      </c>
      <c r="C201" s="89"/>
      <c r="E201" s="82">
        <f>'6) Year 1 Budget'!E164</f>
        <v>10000</v>
      </c>
      <c r="F201" s="65">
        <f t="shared" si="93"/>
        <v>833.33333333333337</v>
      </c>
      <c r="G201" s="65">
        <f t="shared" si="92"/>
        <v>833.33333333333337</v>
      </c>
      <c r="H201" s="65">
        <f t="shared" si="92"/>
        <v>833.33333333333337</v>
      </c>
      <c r="I201" s="65">
        <f t="shared" si="92"/>
        <v>833.33333333333337</v>
      </c>
      <c r="J201" s="65">
        <f t="shared" si="92"/>
        <v>833.33333333333337</v>
      </c>
      <c r="K201" s="65">
        <f t="shared" si="92"/>
        <v>833.33333333333337</v>
      </c>
      <c r="L201" s="65">
        <f t="shared" si="92"/>
        <v>833.33333333333337</v>
      </c>
      <c r="M201" s="65">
        <f t="shared" si="92"/>
        <v>833.33333333333337</v>
      </c>
      <c r="N201" s="65">
        <f t="shared" si="92"/>
        <v>833.33333333333337</v>
      </c>
      <c r="O201" s="65">
        <f t="shared" si="92"/>
        <v>833.33333333333337</v>
      </c>
      <c r="P201" s="65">
        <f t="shared" si="92"/>
        <v>833.33333333333337</v>
      </c>
      <c r="Q201" s="65">
        <f t="shared" si="92"/>
        <v>833.33333333333337</v>
      </c>
      <c r="R201" s="58">
        <f t="shared" si="94"/>
        <v>10000</v>
      </c>
      <c r="S201" s="58">
        <f t="shared" si="95"/>
        <v>0</v>
      </c>
      <c r="T201" s="106" t="s">
        <v>173</v>
      </c>
      <c r="V201" s="9"/>
    </row>
    <row r="202" spans="2:22">
      <c r="B202" s="34" t="str">
        <f>'6) Year 1 Budget'!B165</f>
        <v>Tenant Improvements</v>
      </c>
      <c r="C202" s="89"/>
      <c r="E202" s="82">
        <f>'6) Year 1 Budget'!E165</f>
        <v>48000</v>
      </c>
      <c r="F202" s="65">
        <f t="shared" si="93"/>
        <v>4000</v>
      </c>
      <c r="G202" s="65">
        <f t="shared" si="93"/>
        <v>4000</v>
      </c>
      <c r="H202" s="65">
        <f t="shared" si="93"/>
        <v>4000</v>
      </c>
      <c r="I202" s="65">
        <f t="shared" si="93"/>
        <v>4000</v>
      </c>
      <c r="J202" s="65">
        <f t="shared" si="93"/>
        <v>4000</v>
      </c>
      <c r="K202" s="65">
        <f t="shared" si="93"/>
        <v>4000</v>
      </c>
      <c r="L202" s="65">
        <f t="shared" si="93"/>
        <v>4000</v>
      </c>
      <c r="M202" s="65">
        <f t="shared" si="93"/>
        <v>4000</v>
      </c>
      <c r="N202" s="65">
        <f t="shared" si="93"/>
        <v>4000</v>
      </c>
      <c r="O202" s="65">
        <f t="shared" si="93"/>
        <v>4000</v>
      </c>
      <c r="P202" s="65">
        <f t="shared" si="93"/>
        <v>4000</v>
      </c>
      <c r="Q202" s="65">
        <f t="shared" si="93"/>
        <v>4000</v>
      </c>
      <c r="R202" s="58">
        <f t="shared" si="94"/>
        <v>48000</v>
      </c>
      <c r="S202" s="58">
        <f t="shared" si="95"/>
        <v>0</v>
      </c>
      <c r="T202" s="106" t="s">
        <v>174</v>
      </c>
      <c r="V202" s="9"/>
    </row>
    <row r="203" spans="2:22">
      <c r="B203" s="34" t="str">
        <f>'6) Year 1 Budget'!B166</f>
        <v>Fire &amp; Security Monitoring</v>
      </c>
      <c r="C203" s="89"/>
      <c r="E203" s="82">
        <f>'6) Year 1 Budget'!E166</f>
        <v>1608</v>
      </c>
      <c r="F203" s="65">
        <f t="shared" si="93"/>
        <v>134</v>
      </c>
      <c r="G203" s="65">
        <f t="shared" si="92"/>
        <v>134</v>
      </c>
      <c r="H203" s="65">
        <f t="shared" si="92"/>
        <v>134</v>
      </c>
      <c r="I203" s="65">
        <f t="shared" si="92"/>
        <v>134</v>
      </c>
      <c r="J203" s="65">
        <f t="shared" si="92"/>
        <v>134</v>
      </c>
      <c r="K203" s="65">
        <f t="shared" si="92"/>
        <v>134</v>
      </c>
      <c r="L203" s="65">
        <f t="shared" si="92"/>
        <v>134</v>
      </c>
      <c r="M203" s="65">
        <f t="shared" si="92"/>
        <v>134</v>
      </c>
      <c r="N203" s="65">
        <f t="shared" si="92"/>
        <v>134</v>
      </c>
      <c r="O203" s="65">
        <f t="shared" si="92"/>
        <v>134</v>
      </c>
      <c r="P203" s="65">
        <f t="shared" si="92"/>
        <v>134</v>
      </c>
      <c r="Q203" s="65">
        <f t="shared" si="92"/>
        <v>134</v>
      </c>
      <c r="R203" s="58">
        <f>SUM(F203:Q203)</f>
        <v>1608</v>
      </c>
      <c r="S203" s="58">
        <f>E203-R203</f>
        <v>0</v>
      </c>
      <c r="T203" s="106" t="s">
        <v>96</v>
      </c>
      <c r="V203" s="9"/>
    </row>
    <row r="204" spans="2:22">
      <c r="B204" s="34" t="str">
        <f>'6) Year 1 Budget'!B167</f>
        <v>Pest Control</v>
      </c>
      <c r="C204" s="89"/>
      <c r="E204" s="82">
        <f>'6) Year 1 Budget'!E167</f>
        <v>3655</v>
      </c>
      <c r="F204" s="65">
        <f t="shared" si="93"/>
        <v>304.58333333333331</v>
      </c>
      <c r="G204" s="65">
        <f t="shared" si="93"/>
        <v>304.58333333333331</v>
      </c>
      <c r="H204" s="65">
        <f t="shared" si="93"/>
        <v>304.58333333333331</v>
      </c>
      <c r="I204" s="65">
        <f t="shared" si="93"/>
        <v>304.58333333333331</v>
      </c>
      <c r="J204" s="65">
        <f t="shared" si="93"/>
        <v>304.58333333333331</v>
      </c>
      <c r="K204" s="65">
        <f t="shared" si="93"/>
        <v>304.58333333333331</v>
      </c>
      <c r="L204" s="65">
        <f t="shared" si="93"/>
        <v>304.58333333333331</v>
      </c>
      <c r="M204" s="65">
        <f t="shared" si="93"/>
        <v>304.58333333333331</v>
      </c>
      <c r="N204" s="65">
        <f t="shared" si="93"/>
        <v>304.58333333333331</v>
      </c>
      <c r="O204" s="65">
        <f t="shared" si="93"/>
        <v>304.58333333333331</v>
      </c>
      <c r="P204" s="65">
        <f t="shared" si="93"/>
        <v>304.58333333333331</v>
      </c>
      <c r="Q204" s="65">
        <f t="shared" si="93"/>
        <v>304.58333333333331</v>
      </c>
      <c r="R204" s="58">
        <f>SUM(F204:Q204)</f>
        <v>3655.0000000000005</v>
      </c>
      <c r="S204" s="58">
        <f>E204-R204</f>
        <v>0</v>
      </c>
      <c r="T204" s="106" t="s">
        <v>96</v>
      </c>
      <c r="V204" s="9"/>
    </row>
    <row r="205" spans="2:22">
      <c r="B205" s="34" t="str">
        <f>'6) Year 1 Budget'!B168</f>
        <v>Food and Food Services</v>
      </c>
      <c r="C205" s="89"/>
      <c r="E205" s="82">
        <f>'6) Year 1 Budget'!E168</f>
        <v>80000</v>
      </c>
      <c r="F205" s="65">
        <f t="shared" si="93"/>
        <v>6666.666666666667</v>
      </c>
      <c r="G205" s="65">
        <f t="shared" si="93"/>
        <v>6666.666666666667</v>
      </c>
      <c r="H205" s="65">
        <f t="shared" si="93"/>
        <v>6666.666666666667</v>
      </c>
      <c r="I205" s="65">
        <f t="shared" si="93"/>
        <v>6666.666666666667</v>
      </c>
      <c r="J205" s="65">
        <f t="shared" si="93"/>
        <v>6666.666666666667</v>
      </c>
      <c r="K205" s="65">
        <f t="shared" si="93"/>
        <v>6666.666666666667</v>
      </c>
      <c r="L205" s="65">
        <f t="shared" si="93"/>
        <v>6666.666666666667</v>
      </c>
      <c r="M205" s="65">
        <f t="shared" si="93"/>
        <v>6666.666666666667</v>
      </c>
      <c r="N205" s="65">
        <f t="shared" si="93"/>
        <v>6666.666666666667</v>
      </c>
      <c r="O205" s="65">
        <f t="shared" si="93"/>
        <v>6666.666666666667</v>
      </c>
      <c r="P205" s="65">
        <f t="shared" si="93"/>
        <v>6666.666666666667</v>
      </c>
      <c r="Q205" s="65">
        <f t="shared" si="93"/>
        <v>6666.666666666667</v>
      </c>
      <c r="R205" s="58">
        <f t="shared" ref="R205:R206" si="96">SUM(F205:Q205)</f>
        <v>80000</v>
      </c>
      <c r="S205" s="58">
        <f t="shared" ref="S205:S206" si="97">E205-R205</f>
        <v>0</v>
      </c>
      <c r="T205" s="106" t="s">
        <v>96</v>
      </c>
      <c r="V205" s="9"/>
    </row>
    <row r="206" spans="2:22">
      <c r="B206" s="34" t="str">
        <f>'6) Year 1 Budget'!B169</f>
        <v>Other</v>
      </c>
      <c r="C206" s="89"/>
      <c r="E206" s="82">
        <f>'6) Year 1 Budget'!E169</f>
        <v>0</v>
      </c>
      <c r="F206" s="65">
        <f t="shared" si="93"/>
        <v>0</v>
      </c>
      <c r="G206" s="65">
        <f t="shared" si="92"/>
        <v>0</v>
      </c>
      <c r="H206" s="65">
        <f t="shared" si="92"/>
        <v>0</v>
      </c>
      <c r="I206" s="65">
        <f t="shared" si="92"/>
        <v>0</v>
      </c>
      <c r="J206" s="65">
        <f t="shared" si="92"/>
        <v>0</v>
      </c>
      <c r="K206" s="65">
        <f t="shared" si="92"/>
        <v>0</v>
      </c>
      <c r="L206" s="65">
        <f t="shared" si="92"/>
        <v>0</v>
      </c>
      <c r="M206" s="65">
        <f t="shared" si="92"/>
        <v>0</v>
      </c>
      <c r="N206" s="65">
        <f t="shared" si="92"/>
        <v>0</v>
      </c>
      <c r="O206" s="65">
        <f t="shared" si="92"/>
        <v>0</v>
      </c>
      <c r="P206" s="65">
        <f t="shared" si="92"/>
        <v>0</v>
      </c>
      <c r="Q206" s="65">
        <f t="shared" si="92"/>
        <v>0</v>
      </c>
      <c r="R206" s="58">
        <f t="shared" si="96"/>
        <v>0</v>
      </c>
      <c r="S206" s="58">
        <f t="shared" si="97"/>
        <v>0</v>
      </c>
      <c r="T206" s="106" t="s">
        <v>96</v>
      </c>
      <c r="V206" s="9"/>
    </row>
    <row r="207" spans="2:22">
      <c r="B207" s="29"/>
      <c r="C207" s="42"/>
      <c r="D207" s="42"/>
      <c r="E207" s="55"/>
      <c r="F207" s="55"/>
      <c r="G207" s="55"/>
      <c r="H207" s="55"/>
      <c r="I207" s="55"/>
      <c r="J207" s="55"/>
      <c r="K207" s="55"/>
      <c r="L207" s="55"/>
      <c r="M207" s="55"/>
      <c r="N207" s="55"/>
      <c r="O207" s="55"/>
      <c r="P207" s="55"/>
      <c r="Q207" s="55"/>
      <c r="R207" s="55"/>
      <c r="S207" s="55"/>
      <c r="T207" s="55"/>
      <c r="V207" s="9"/>
    </row>
    <row r="208" spans="2:22">
      <c r="B208" s="29" t="s">
        <v>175</v>
      </c>
      <c r="C208" s="42"/>
      <c r="D208" s="42"/>
      <c r="E208" s="55"/>
      <c r="F208" s="55"/>
      <c r="G208" s="55"/>
      <c r="H208" s="55"/>
      <c r="I208" s="55"/>
      <c r="J208" s="55"/>
      <c r="K208" s="55"/>
      <c r="L208" s="55"/>
      <c r="M208" s="55"/>
      <c r="N208" s="55"/>
      <c r="O208" s="55"/>
      <c r="P208" s="55"/>
      <c r="Q208" s="55"/>
      <c r="R208" s="55"/>
      <c r="S208" s="55"/>
      <c r="T208" s="55"/>
      <c r="V208" s="9"/>
    </row>
    <row r="209" spans="2:22">
      <c r="B209" s="34" t="str">
        <f>'6) Year 1 Budget'!B172</f>
        <v>Staff Recruitment</v>
      </c>
      <c r="C209" s="89"/>
      <c r="E209" s="82">
        <f>'6) Year 1 Budget'!E172</f>
        <v>5000</v>
      </c>
      <c r="F209" s="65">
        <f>$E209/12</f>
        <v>416.66666666666669</v>
      </c>
      <c r="G209" s="65">
        <f t="shared" ref="G209:Q214" si="98">$E209/12</f>
        <v>416.66666666666669</v>
      </c>
      <c r="H209" s="65">
        <f t="shared" si="98"/>
        <v>416.66666666666669</v>
      </c>
      <c r="I209" s="65">
        <f t="shared" si="98"/>
        <v>416.66666666666669</v>
      </c>
      <c r="J209" s="65">
        <f t="shared" si="98"/>
        <v>416.66666666666669</v>
      </c>
      <c r="K209" s="65">
        <f t="shared" si="98"/>
        <v>416.66666666666669</v>
      </c>
      <c r="L209" s="65">
        <f t="shared" si="98"/>
        <v>416.66666666666669</v>
      </c>
      <c r="M209" s="65">
        <f t="shared" si="98"/>
        <v>416.66666666666669</v>
      </c>
      <c r="N209" s="65">
        <f t="shared" si="98"/>
        <v>416.66666666666669</v>
      </c>
      <c r="O209" s="65">
        <f t="shared" si="98"/>
        <v>416.66666666666669</v>
      </c>
      <c r="P209" s="65">
        <f t="shared" si="98"/>
        <v>416.66666666666669</v>
      </c>
      <c r="Q209" s="65">
        <f t="shared" si="98"/>
        <v>416.66666666666669</v>
      </c>
      <c r="R209" s="58">
        <f>SUM(F209:Q209)</f>
        <v>5000</v>
      </c>
      <c r="S209" s="58">
        <f>E209-R209</f>
        <v>0</v>
      </c>
      <c r="T209" s="106" t="s">
        <v>176</v>
      </c>
      <c r="V209" s="9"/>
    </row>
    <row r="210" spans="2:22">
      <c r="B210" s="34" t="str">
        <f>'6) Year 1 Budget'!B173</f>
        <v>Student Recruitment &amp; Community Engagement</v>
      </c>
      <c r="C210" s="89"/>
      <c r="E210" s="82">
        <f>'6) Year 1 Budget'!E173</f>
        <v>15000</v>
      </c>
      <c r="F210" s="65">
        <f t="shared" ref="F210:F214" si="99">$E210/12</f>
        <v>1250</v>
      </c>
      <c r="G210" s="65">
        <f t="shared" si="98"/>
        <v>1250</v>
      </c>
      <c r="H210" s="65">
        <f t="shared" si="98"/>
        <v>1250</v>
      </c>
      <c r="I210" s="65">
        <f t="shared" si="98"/>
        <v>1250</v>
      </c>
      <c r="J210" s="65">
        <f t="shared" si="98"/>
        <v>1250</v>
      </c>
      <c r="K210" s="65">
        <f t="shared" si="98"/>
        <v>1250</v>
      </c>
      <c r="L210" s="65">
        <f t="shared" si="98"/>
        <v>1250</v>
      </c>
      <c r="M210" s="65">
        <f t="shared" si="98"/>
        <v>1250</v>
      </c>
      <c r="N210" s="65">
        <f t="shared" si="98"/>
        <v>1250</v>
      </c>
      <c r="O210" s="65">
        <f t="shared" si="98"/>
        <v>1250</v>
      </c>
      <c r="P210" s="65">
        <f t="shared" si="98"/>
        <v>1250</v>
      </c>
      <c r="Q210" s="65">
        <f t="shared" si="98"/>
        <v>1250</v>
      </c>
      <c r="R210" s="58">
        <f>SUM(F210:Q210)</f>
        <v>15000</v>
      </c>
      <c r="S210" s="58">
        <f>E210-R210</f>
        <v>0</v>
      </c>
      <c r="T210" s="106" t="s">
        <v>177</v>
      </c>
      <c r="V210" s="9"/>
    </row>
    <row r="211" spans="2:22">
      <c r="B211" s="34" t="str">
        <f>'6) Year 1 Budget'!B174</f>
        <v>Parent &amp; Staff Meetings</v>
      </c>
      <c r="C211" s="89"/>
      <c r="E211" s="82">
        <f>'6) Year 1 Budget'!E174</f>
        <v>3000</v>
      </c>
      <c r="F211" s="65">
        <f t="shared" si="99"/>
        <v>250</v>
      </c>
      <c r="G211" s="65">
        <f t="shared" si="98"/>
        <v>250</v>
      </c>
      <c r="H211" s="65">
        <f t="shared" si="98"/>
        <v>250</v>
      </c>
      <c r="I211" s="65">
        <f t="shared" si="98"/>
        <v>250</v>
      </c>
      <c r="J211" s="65">
        <f t="shared" si="98"/>
        <v>250</v>
      </c>
      <c r="K211" s="65">
        <f t="shared" si="98"/>
        <v>250</v>
      </c>
      <c r="L211" s="65">
        <f t="shared" si="98"/>
        <v>250</v>
      </c>
      <c r="M211" s="65">
        <f t="shared" si="98"/>
        <v>250</v>
      </c>
      <c r="N211" s="65">
        <f t="shared" si="98"/>
        <v>250</v>
      </c>
      <c r="O211" s="65">
        <f t="shared" si="98"/>
        <v>250</v>
      </c>
      <c r="P211" s="65">
        <f t="shared" si="98"/>
        <v>250</v>
      </c>
      <c r="Q211" s="65">
        <f t="shared" si="98"/>
        <v>250</v>
      </c>
      <c r="R211" s="58">
        <f t="shared" ref="R211:R212" si="100">SUM(F211:Q211)</f>
        <v>3000</v>
      </c>
      <c r="S211" s="58">
        <f t="shared" ref="S211:S212" si="101">E211-R211</f>
        <v>0</v>
      </c>
      <c r="T211" s="106" t="s">
        <v>830</v>
      </c>
      <c r="V211" s="9"/>
    </row>
    <row r="212" spans="2:22">
      <c r="B212" s="34" t="str">
        <f>'6) Year 1 Budget'!B175</f>
        <v>Authorizer Fee</v>
      </c>
      <c r="C212" s="89"/>
      <c r="E212" s="82">
        <f>'6) Year 1 Budget'!E175</f>
        <v>35000</v>
      </c>
      <c r="F212" s="65">
        <f t="shared" si="99"/>
        <v>2916.6666666666665</v>
      </c>
      <c r="G212" s="65">
        <f t="shared" si="98"/>
        <v>2916.6666666666665</v>
      </c>
      <c r="H212" s="65">
        <f t="shared" si="98"/>
        <v>2916.6666666666665</v>
      </c>
      <c r="I212" s="65">
        <f t="shared" si="98"/>
        <v>2916.6666666666665</v>
      </c>
      <c r="J212" s="65">
        <f t="shared" si="98"/>
        <v>2916.6666666666665</v>
      </c>
      <c r="K212" s="65">
        <f t="shared" si="98"/>
        <v>2916.6666666666665</v>
      </c>
      <c r="L212" s="65">
        <f t="shared" si="98"/>
        <v>2916.6666666666665</v>
      </c>
      <c r="M212" s="65">
        <f t="shared" si="98"/>
        <v>2916.6666666666665</v>
      </c>
      <c r="N212" s="65">
        <f t="shared" si="98"/>
        <v>2916.6666666666665</v>
      </c>
      <c r="O212" s="65">
        <f t="shared" si="98"/>
        <v>2916.6666666666665</v>
      </c>
      <c r="P212" s="65">
        <f t="shared" si="98"/>
        <v>2916.6666666666665</v>
      </c>
      <c r="Q212" s="65">
        <f t="shared" si="98"/>
        <v>2916.6666666666665</v>
      </c>
      <c r="R212" s="58">
        <f t="shared" si="100"/>
        <v>35000.000000000007</v>
      </c>
      <c r="S212" s="58">
        <f t="shared" si="101"/>
        <v>0</v>
      </c>
      <c r="T212" s="106"/>
      <c r="V212" s="9"/>
    </row>
    <row r="213" spans="2:22">
      <c r="B213" s="34" t="s">
        <v>786</v>
      </c>
      <c r="C213" s="89"/>
      <c r="E213" s="82">
        <v>250704</v>
      </c>
      <c r="F213" s="65">
        <f t="shared" ref="F213:Q213" si="102">$E213/12</f>
        <v>20892</v>
      </c>
      <c r="G213" s="65">
        <f t="shared" si="102"/>
        <v>20892</v>
      </c>
      <c r="H213" s="65">
        <f t="shared" si="102"/>
        <v>20892</v>
      </c>
      <c r="I213" s="65">
        <f t="shared" si="102"/>
        <v>20892</v>
      </c>
      <c r="J213" s="65">
        <f t="shared" si="102"/>
        <v>20892</v>
      </c>
      <c r="K213" s="65">
        <f t="shared" si="102"/>
        <v>20892</v>
      </c>
      <c r="L213" s="65">
        <f t="shared" si="102"/>
        <v>20892</v>
      </c>
      <c r="M213" s="65">
        <f t="shared" si="102"/>
        <v>20892</v>
      </c>
      <c r="N213" s="65">
        <f t="shared" si="102"/>
        <v>20892</v>
      </c>
      <c r="O213" s="65">
        <f t="shared" si="102"/>
        <v>20892</v>
      </c>
      <c r="P213" s="65">
        <f t="shared" si="102"/>
        <v>20892</v>
      </c>
      <c r="Q213" s="65">
        <f t="shared" si="102"/>
        <v>20892</v>
      </c>
      <c r="R213" s="58">
        <f t="shared" ref="R213" si="103">SUM(F213:Q213)</f>
        <v>250704</v>
      </c>
      <c r="S213" s="58"/>
      <c r="T213" s="106"/>
      <c r="V213" s="9"/>
    </row>
    <row r="214" spans="2:22">
      <c r="B214" s="34" t="str">
        <f>'6) Year 1 Budget'!B177</f>
        <v>Travel-employee</v>
      </c>
      <c r="C214" s="89"/>
      <c r="E214" s="82">
        <f>'6) Year 1 Budget'!E177</f>
        <v>6400</v>
      </c>
      <c r="F214" s="65">
        <f t="shared" si="99"/>
        <v>533.33333333333337</v>
      </c>
      <c r="G214" s="65">
        <f t="shared" si="98"/>
        <v>533.33333333333337</v>
      </c>
      <c r="H214" s="65">
        <f t="shared" si="98"/>
        <v>533.33333333333337</v>
      </c>
      <c r="I214" s="65">
        <f t="shared" si="98"/>
        <v>533.33333333333337</v>
      </c>
      <c r="J214" s="65">
        <f t="shared" si="98"/>
        <v>533.33333333333337</v>
      </c>
      <c r="K214" s="65">
        <f t="shared" si="98"/>
        <v>533.33333333333337</v>
      </c>
      <c r="L214" s="65">
        <f t="shared" si="98"/>
        <v>533.33333333333337</v>
      </c>
      <c r="M214" s="65">
        <f t="shared" si="98"/>
        <v>533.33333333333337</v>
      </c>
      <c r="N214" s="65">
        <f t="shared" si="98"/>
        <v>533.33333333333337</v>
      </c>
      <c r="O214" s="65">
        <f t="shared" si="98"/>
        <v>533.33333333333337</v>
      </c>
      <c r="P214" s="65">
        <f t="shared" si="98"/>
        <v>533.33333333333337</v>
      </c>
      <c r="Q214" s="65">
        <f t="shared" si="98"/>
        <v>533.33333333333337</v>
      </c>
      <c r="R214" s="58">
        <f>SUM(F214:Q214)</f>
        <v>6399.9999999999991</v>
      </c>
      <c r="S214" s="58">
        <f>E214-R214</f>
        <v>0</v>
      </c>
      <c r="T214" s="106" t="s">
        <v>96</v>
      </c>
      <c r="V214" s="9"/>
    </row>
    <row r="215" spans="2:22">
      <c r="B215" s="29"/>
      <c r="C215" s="42"/>
      <c r="D215" s="42"/>
      <c r="E215" s="55"/>
      <c r="F215" s="55"/>
      <c r="G215" s="55"/>
      <c r="H215" s="55"/>
      <c r="I215" s="55"/>
      <c r="J215" s="55"/>
      <c r="K215" s="55"/>
      <c r="L215" s="55"/>
      <c r="M215" s="55"/>
      <c r="N215" s="55"/>
      <c r="O215" s="55"/>
      <c r="P215" s="55"/>
      <c r="Q215" s="55"/>
      <c r="R215" s="55"/>
      <c r="S215" s="55"/>
      <c r="T215" s="55"/>
      <c r="V215" s="9"/>
    </row>
    <row r="216" spans="2:22">
      <c r="B216" s="29" t="s">
        <v>180</v>
      </c>
      <c r="C216" s="42"/>
      <c r="D216" s="42"/>
      <c r="E216" s="55"/>
      <c r="F216" s="55"/>
      <c r="G216" s="55"/>
      <c r="H216" s="55"/>
      <c r="I216" s="55"/>
      <c r="J216" s="55"/>
      <c r="K216" s="55"/>
      <c r="L216" s="55"/>
      <c r="M216" s="55"/>
      <c r="N216" s="55"/>
      <c r="O216" s="55"/>
      <c r="P216" s="55"/>
      <c r="Q216" s="55"/>
      <c r="R216" s="55"/>
      <c r="S216" s="55"/>
      <c r="T216" s="55"/>
      <c r="V216" s="9"/>
    </row>
    <row r="217" spans="2:22">
      <c r="B217" s="34" t="str">
        <f>'6) Year 1 Budget'!B180</f>
        <v>Other</v>
      </c>
      <c r="C217" s="89"/>
      <c r="E217" s="58">
        <f>'6) Year 1 Budget'!E180</f>
        <v>0</v>
      </c>
      <c r="F217" s="66">
        <f>$E217/12</f>
        <v>0</v>
      </c>
      <c r="G217" s="66">
        <f t="shared" ref="G217:Q221" si="104">$E217/12</f>
        <v>0</v>
      </c>
      <c r="H217" s="66">
        <f t="shared" si="104"/>
        <v>0</v>
      </c>
      <c r="I217" s="66">
        <f t="shared" si="104"/>
        <v>0</v>
      </c>
      <c r="J217" s="66">
        <f t="shared" si="104"/>
        <v>0</v>
      </c>
      <c r="K217" s="66">
        <f t="shared" si="104"/>
        <v>0</v>
      </c>
      <c r="L217" s="66">
        <f t="shared" si="104"/>
        <v>0</v>
      </c>
      <c r="M217" s="66">
        <f t="shared" si="104"/>
        <v>0</v>
      </c>
      <c r="N217" s="66">
        <f t="shared" si="104"/>
        <v>0</v>
      </c>
      <c r="O217" s="66">
        <f t="shared" si="104"/>
        <v>0</v>
      </c>
      <c r="P217" s="66">
        <f t="shared" si="104"/>
        <v>0</v>
      </c>
      <c r="Q217" s="66">
        <f t="shared" si="104"/>
        <v>0</v>
      </c>
      <c r="R217" s="58">
        <f>SUM(F217:Q217)</f>
        <v>0</v>
      </c>
      <c r="S217" s="58">
        <f>E217-R217</f>
        <v>0</v>
      </c>
      <c r="T217" s="106"/>
      <c r="V217" s="9"/>
    </row>
    <row r="218" spans="2:22">
      <c r="B218" s="34" t="str">
        <f>'6) Year 1 Budget'!B181</f>
        <v>Other</v>
      </c>
      <c r="C218" s="89"/>
      <c r="E218" s="58">
        <f>'6) Year 1 Budget'!E181</f>
        <v>0</v>
      </c>
      <c r="F218" s="66">
        <f t="shared" ref="F218:F221" si="105">$E218/12</f>
        <v>0</v>
      </c>
      <c r="G218" s="66">
        <f t="shared" si="104"/>
        <v>0</v>
      </c>
      <c r="H218" s="66">
        <f t="shared" si="104"/>
        <v>0</v>
      </c>
      <c r="I218" s="66">
        <f t="shared" si="104"/>
        <v>0</v>
      </c>
      <c r="J218" s="66">
        <f t="shared" si="104"/>
        <v>0</v>
      </c>
      <c r="K218" s="66">
        <f t="shared" si="104"/>
        <v>0</v>
      </c>
      <c r="L218" s="66">
        <f t="shared" si="104"/>
        <v>0</v>
      </c>
      <c r="M218" s="66">
        <f t="shared" si="104"/>
        <v>0</v>
      </c>
      <c r="N218" s="66">
        <f t="shared" si="104"/>
        <v>0</v>
      </c>
      <c r="O218" s="66">
        <f t="shared" si="104"/>
        <v>0</v>
      </c>
      <c r="P218" s="66">
        <f t="shared" si="104"/>
        <v>0</v>
      </c>
      <c r="Q218" s="66">
        <f t="shared" si="104"/>
        <v>0</v>
      </c>
      <c r="R218" s="58">
        <f>SUM(F218:Q218)</f>
        <v>0</v>
      </c>
      <c r="S218" s="58">
        <f>E218-R218</f>
        <v>0</v>
      </c>
      <c r="T218" s="106"/>
      <c r="V218" s="9"/>
    </row>
    <row r="219" spans="2:22">
      <c r="B219" s="34" t="str">
        <f>'6) Year 1 Budget'!B182</f>
        <v>Other</v>
      </c>
      <c r="C219" s="89"/>
      <c r="E219" s="58">
        <f>'6) Year 1 Budget'!E182</f>
        <v>0</v>
      </c>
      <c r="F219" s="66">
        <f t="shared" si="105"/>
        <v>0</v>
      </c>
      <c r="G219" s="66">
        <f t="shared" si="104"/>
        <v>0</v>
      </c>
      <c r="H219" s="66">
        <f t="shared" si="104"/>
        <v>0</v>
      </c>
      <c r="I219" s="66">
        <f t="shared" si="104"/>
        <v>0</v>
      </c>
      <c r="J219" s="66">
        <f t="shared" si="104"/>
        <v>0</v>
      </c>
      <c r="K219" s="66">
        <f t="shared" si="104"/>
        <v>0</v>
      </c>
      <c r="L219" s="66">
        <f t="shared" si="104"/>
        <v>0</v>
      </c>
      <c r="M219" s="66">
        <f t="shared" si="104"/>
        <v>0</v>
      </c>
      <c r="N219" s="66">
        <f t="shared" si="104"/>
        <v>0</v>
      </c>
      <c r="O219" s="66">
        <f t="shared" si="104"/>
        <v>0</v>
      </c>
      <c r="P219" s="66">
        <f t="shared" si="104"/>
        <v>0</v>
      </c>
      <c r="Q219" s="66">
        <f t="shared" si="104"/>
        <v>0</v>
      </c>
      <c r="R219" s="58">
        <f t="shared" ref="R219:R220" si="106">SUM(F219:Q219)</f>
        <v>0</v>
      </c>
      <c r="S219" s="58">
        <f t="shared" ref="S219:S220" si="107">E219-R219</f>
        <v>0</v>
      </c>
      <c r="T219" s="106"/>
      <c r="V219" s="9"/>
    </row>
    <row r="220" spans="2:22">
      <c r="B220" s="34" t="str">
        <f>'6) Year 1 Budget'!B183</f>
        <v>Other</v>
      </c>
      <c r="C220" s="89"/>
      <c r="E220" s="58">
        <f>'6) Year 1 Budget'!E183</f>
        <v>0</v>
      </c>
      <c r="F220" s="66">
        <f t="shared" si="105"/>
        <v>0</v>
      </c>
      <c r="G220" s="66">
        <f t="shared" si="104"/>
        <v>0</v>
      </c>
      <c r="H220" s="66">
        <f t="shared" si="104"/>
        <v>0</v>
      </c>
      <c r="I220" s="66">
        <f t="shared" si="104"/>
        <v>0</v>
      </c>
      <c r="J220" s="66">
        <f t="shared" si="104"/>
        <v>0</v>
      </c>
      <c r="K220" s="66">
        <f t="shared" si="104"/>
        <v>0</v>
      </c>
      <c r="L220" s="66">
        <f t="shared" si="104"/>
        <v>0</v>
      </c>
      <c r="M220" s="66">
        <f t="shared" si="104"/>
        <v>0</v>
      </c>
      <c r="N220" s="66">
        <f t="shared" si="104"/>
        <v>0</v>
      </c>
      <c r="O220" s="66">
        <f t="shared" si="104"/>
        <v>0</v>
      </c>
      <c r="P220" s="66">
        <f t="shared" si="104"/>
        <v>0</v>
      </c>
      <c r="Q220" s="66">
        <f t="shared" si="104"/>
        <v>0</v>
      </c>
      <c r="R220" s="58">
        <f t="shared" si="106"/>
        <v>0</v>
      </c>
      <c r="S220" s="58">
        <f t="shared" si="107"/>
        <v>0</v>
      </c>
      <c r="T220" s="106"/>
      <c r="V220" s="9"/>
    </row>
    <row r="221" spans="2:22">
      <c r="B221" s="34" t="str">
        <f>'6) Year 1 Budget'!B184</f>
        <v>Other</v>
      </c>
      <c r="C221" s="89"/>
      <c r="E221" s="58">
        <f>'6) Year 1 Budget'!E184</f>
        <v>0</v>
      </c>
      <c r="F221" s="66">
        <f t="shared" si="105"/>
        <v>0</v>
      </c>
      <c r="G221" s="66">
        <f t="shared" si="104"/>
        <v>0</v>
      </c>
      <c r="H221" s="66">
        <f t="shared" si="104"/>
        <v>0</v>
      </c>
      <c r="I221" s="66">
        <f t="shared" si="104"/>
        <v>0</v>
      </c>
      <c r="J221" s="66">
        <f t="shared" si="104"/>
        <v>0</v>
      </c>
      <c r="K221" s="66">
        <f t="shared" si="104"/>
        <v>0</v>
      </c>
      <c r="L221" s="66">
        <f t="shared" si="104"/>
        <v>0</v>
      </c>
      <c r="M221" s="66">
        <f t="shared" si="104"/>
        <v>0</v>
      </c>
      <c r="N221" s="66">
        <f t="shared" si="104"/>
        <v>0</v>
      </c>
      <c r="O221" s="66">
        <f t="shared" si="104"/>
        <v>0</v>
      </c>
      <c r="P221" s="66">
        <f t="shared" si="104"/>
        <v>0</v>
      </c>
      <c r="Q221" s="66">
        <f t="shared" si="104"/>
        <v>0</v>
      </c>
      <c r="R221" s="58">
        <f>SUM(F221:Q221)</f>
        <v>0</v>
      </c>
      <c r="S221" s="58">
        <f>E221-R221</f>
        <v>0</v>
      </c>
      <c r="T221" s="106"/>
      <c r="V221" s="9"/>
    </row>
    <row r="222" spans="2:22">
      <c r="B222" s="29"/>
      <c r="C222" s="42"/>
      <c r="D222" s="42"/>
      <c r="E222" s="55"/>
      <c r="F222" s="55"/>
      <c r="G222" s="55"/>
      <c r="H222" s="55"/>
      <c r="I222" s="55"/>
      <c r="J222" s="55"/>
      <c r="K222" s="55"/>
      <c r="L222" s="55"/>
      <c r="M222" s="55"/>
      <c r="N222" s="55"/>
      <c r="O222" s="55"/>
      <c r="P222" s="55"/>
      <c r="Q222" s="55"/>
      <c r="R222" s="55"/>
      <c r="S222" s="55"/>
      <c r="T222" s="55"/>
      <c r="V222" s="9"/>
    </row>
    <row r="223" spans="2:22" ht="15.75" thickBot="1">
      <c r="B223" s="29" t="s">
        <v>181</v>
      </c>
      <c r="C223" s="42"/>
      <c r="D223" s="42"/>
      <c r="E223" s="54">
        <f t="shared" ref="E223:S223" si="108">SUM(E159:E173,E176:E190,E193:E206,E209:E214,E217:E221)</f>
        <v>1277604</v>
      </c>
      <c r="F223" s="54">
        <f t="shared" si="108"/>
        <v>106467</v>
      </c>
      <c r="G223" s="54">
        <f t="shared" si="108"/>
        <v>106467</v>
      </c>
      <c r="H223" s="54">
        <f t="shared" si="108"/>
        <v>106467</v>
      </c>
      <c r="I223" s="54">
        <f t="shared" si="108"/>
        <v>106467</v>
      </c>
      <c r="J223" s="54">
        <f t="shared" si="108"/>
        <v>106467</v>
      </c>
      <c r="K223" s="54">
        <f t="shared" si="108"/>
        <v>106467</v>
      </c>
      <c r="L223" s="54">
        <f t="shared" si="108"/>
        <v>106467</v>
      </c>
      <c r="M223" s="54">
        <f t="shared" si="108"/>
        <v>106467</v>
      </c>
      <c r="N223" s="54">
        <f t="shared" si="108"/>
        <v>106467</v>
      </c>
      <c r="O223" s="54">
        <f t="shared" si="108"/>
        <v>106467</v>
      </c>
      <c r="P223" s="54">
        <f t="shared" si="108"/>
        <v>106467</v>
      </c>
      <c r="Q223" s="54">
        <f t="shared" si="108"/>
        <v>106467</v>
      </c>
      <c r="R223" s="54">
        <f t="shared" si="108"/>
        <v>1277604</v>
      </c>
      <c r="S223" s="54">
        <f t="shared" si="108"/>
        <v>0</v>
      </c>
      <c r="T223" s="55"/>
      <c r="V223" s="9"/>
    </row>
    <row r="224" spans="2:22" ht="15.75" thickTop="1">
      <c r="B224" s="29"/>
      <c r="C224" s="42"/>
      <c r="D224" s="42"/>
      <c r="E224" s="55"/>
      <c r="F224" s="55"/>
      <c r="G224" s="55"/>
      <c r="H224" s="55"/>
      <c r="I224" s="55"/>
      <c r="J224" s="55"/>
      <c r="K224" s="55"/>
      <c r="L224" s="55"/>
      <c r="M224" s="55"/>
      <c r="N224" s="55"/>
      <c r="O224" s="55"/>
      <c r="P224" s="55"/>
      <c r="Q224" s="55"/>
      <c r="R224" s="55"/>
      <c r="S224" s="55"/>
      <c r="T224" s="55"/>
      <c r="V224" s="9"/>
    </row>
    <row r="225" spans="2:22" ht="15.75" thickBot="1">
      <c r="B225" s="29" t="s">
        <v>182</v>
      </c>
      <c r="C225" s="42"/>
      <c r="D225" s="42"/>
      <c r="E225" s="54">
        <f t="shared" ref="E225:S225" si="109">E123+E148+E223</f>
        <v>2752385.8383999998</v>
      </c>
      <c r="F225" s="54">
        <f t="shared" si="109"/>
        <v>229365.48653333334</v>
      </c>
      <c r="G225" s="54">
        <f t="shared" si="109"/>
        <v>229365.48653333334</v>
      </c>
      <c r="H225" s="54">
        <f t="shared" si="109"/>
        <v>229365.48653333334</v>
      </c>
      <c r="I225" s="54">
        <f t="shared" si="109"/>
        <v>229365.48653333334</v>
      </c>
      <c r="J225" s="54">
        <f t="shared" si="109"/>
        <v>229365.48653333334</v>
      </c>
      <c r="K225" s="54">
        <f t="shared" si="109"/>
        <v>229365.48653333334</v>
      </c>
      <c r="L225" s="54">
        <f t="shared" si="109"/>
        <v>229365.48653333334</v>
      </c>
      <c r="M225" s="54">
        <f t="shared" si="109"/>
        <v>229365.48653333334</v>
      </c>
      <c r="N225" s="54">
        <f t="shared" si="109"/>
        <v>229365.48653333334</v>
      </c>
      <c r="O225" s="54">
        <f t="shared" si="109"/>
        <v>229365.48653333334</v>
      </c>
      <c r="P225" s="54">
        <f t="shared" si="109"/>
        <v>229365.48653333334</v>
      </c>
      <c r="Q225" s="54">
        <f t="shared" si="109"/>
        <v>229365.48653333334</v>
      </c>
      <c r="R225" s="54">
        <f t="shared" si="109"/>
        <v>2752385.8383999998</v>
      </c>
      <c r="S225" s="54">
        <f t="shared" si="109"/>
        <v>0</v>
      </c>
      <c r="T225" s="55"/>
      <c r="V225" s="9"/>
    </row>
    <row r="226" spans="2:22" ht="16.5" thickTop="1" thickBot="1">
      <c r="B226" s="20"/>
      <c r="C226" s="21"/>
      <c r="D226" s="21"/>
      <c r="E226" s="21"/>
      <c r="F226" s="21"/>
      <c r="G226" s="21"/>
      <c r="H226" s="21"/>
      <c r="I226" s="21"/>
      <c r="J226" s="21"/>
      <c r="K226" s="21"/>
      <c r="L226" s="21"/>
      <c r="M226" s="21"/>
      <c r="N226" s="21"/>
      <c r="O226" s="21"/>
      <c r="P226" s="21"/>
      <c r="Q226" s="21"/>
      <c r="R226" s="21"/>
      <c r="S226" s="21"/>
      <c r="T226" s="21"/>
      <c r="U226" s="21"/>
      <c r="V226" s="22"/>
    </row>
    <row r="228" spans="2:22">
      <c r="B228" t="s">
        <v>817</v>
      </c>
      <c r="E228" t="s">
        <v>816</v>
      </c>
    </row>
    <row r="229" spans="2:22">
      <c r="E229" t="s">
        <v>812</v>
      </c>
      <c r="F229" t="s">
        <v>811</v>
      </c>
      <c r="G229" t="s">
        <v>813</v>
      </c>
      <c r="H229" t="s">
        <v>814</v>
      </c>
    </row>
    <row r="230" spans="2:22">
      <c r="B230" t="s">
        <v>201</v>
      </c>
      <c r="E230" s="122">
        <f>E7</f>
        <v>2803915.3589121089</v>
      </c>
      <c r="F230" s="122">
        <f>'6) Year 1 Budget'!E49</f>
        <v>2803915.3589121089</v>
      </c>
      <c r="G230" s="679">
        <f>'8) Year 2 through 5 Budget'!E52</f>
        <v>2803915.3589121089</v>
      </c>
      <c r="H230" s="679">
        <f>'9) Summary'!E19</f>
        <v>2803915.3589121089</v>
      </c>
      <c r="I230" s="122"/>
    </row>
    <row r="231" spans="2:22">
      <c r="B231" t="s">
        <v>202</v>
      </c>
      <c r="E231" s="122">
        <f>E225</f>
        <v>2752385.8383999998</v>
      </c>
      <c r="F231" s="122">
        <f>'6) Year 1 Budget'!E188</f>
        <v>2752385.8383999998</v>
      </c>
      <c r="G231" s="679">
        <f>'8) Year 2 through 5 Budget'!E192</f>
        <v>2752385.8383999998</v>
      </c>
      <c r="H231" s="679">
        <f>'9) Summary'!E28</f>
        <v>2752385.8383999998</v>
      </c>
      <c r="I231" s="122"/>
    </row>
    <row r="232" spans="2:22">
      <c r="B232" t="s">
        <v>804</v>
      </c>
      <c r="E232" s="122">
        <f>E230-E231</f>
        <v>51529.520512109157</v>
      </c>
      <c r="F232" s="122">
        <f>F230-F231</f>
        <v>51529.520512109157</v>
      </c>
      <c r="G232" s="122">
        <f t="shared" ref="G232:H232" si="110">G230-G231</f>
        <v>51529.520512109157</v>
      </c>
      <c r="H232" s="122">
        <f t="shared" si="110"/>
        <v>51529.520512109157</v>
      </c>
      <c r="I232" s="122"/>
    </row>
  </sheetData>
  <mergeCells count="9">
    <mergeCell ref="E151:S151"/>
    <mergeCell ref="E53:S53"/>
    <mergeCell ref="E46:S46"/>
    <mergeCell ref="E3:S3"/>
    <mergeCell ref="E4:S4"/>
    <mergeCell ref="E5:S5"/>
    <mergeCell ref="E88:S88"/>
    <mergeCell ref="E126:S126"/>
    <mergeCell ref="E8:S8"/>
  </mergeCells>
  <pageMargins left="0.7" right="0.7" top="0.75" bottom="0.75" header="0.3" footer="0.3"/>
  <pageSetup scale="43" fitToHeight="5" orientation="landscape" horizontalDpi="1200" verticalDpi="1200" r:id="rId1"/>
  <headerFooter>
    <oddFooter>&amp;L&amp;A&amp;RPage &amp;P of &amp;N</oddFooter>
  </headerFooter>
  <rowBreaks count="4" manualBreakCount="4">
    <brk id="44" max="22" man="1"/>
    <brk id="86" max="22" man="1"/>
    <brk id="149" max="22" man="1"/>
    <brk id="191" max="2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8DED9-8986-4BCD-9A3B-3EA7F006F315}">
  <sheetPr>
    <tabColor theme="9" tint="0.79998168889431442"/>
    <pageSetUpPr fitToPage="1"/>
  </sheetPr>
  <dimension ref="A1:R193"/>
  <sheetViews>
    <sheetView tabSelected="1" topLeftCell="A4" zoomScale="110" zoomScaleNormal="110" workbookViewId="0">
      <pane xSplit="7" ySplit="17" topLeftCell="I21" activePane="bottomRight" state="frozen"/>
      <selection activeCell="F17" sqref="F17"/>
      <selection pane="topRight" activeCell="F17" sqref="F17"/>
      <selection pane="bottomLeft" activeCell="F17" sqref="F17"/>
      <selection pane="bottomRight" activeCell="B4" sqref="B4"/>
    </sheetView>
  </sheetViews>
  <sheetFormatPr defaultColWidth="8.7109375" defaultRowHeight="15" outlineLevelRow="1" outlineLevelCol="1"/>
  <cols>
    <col min="1" max="1" width="5.85546875" bestFit="1" customWidth="1"/>
    <col min="2" max="2" width="44.42578125" customWidth="1"/>
    <col min="3" max="5" width="18" style="166" hidden="1" customWidth="1" outlineLevel="1"/>
    <col min="6" max="6" width="21.28515625" style="166" hidden="1" customWidth="1" outlineLevel="1"/>
    <col min="7" max="7" width="15.28515625" hidden="1" customWidth="1" outlineLevel="1"/>
    <col min="8" max="8" width="18" bestFit="1" customWidth="1" collapsed="1"/>
    <col min="9" max="12" width="18" customWidth="1"/>
    <col min="13" max="14" width="15.85546875" bestFit="1" customWidth="1"/>
    <col min="15" max="15" width="15.85546875" customWidth="1"/>
    <col min="16" max="16" width="10.85546875" bestFit="1" customWidth="1"/>
    <col min="17" max="17" width="15.42578125" customWidth="1"/>
    <col min="18" max="18" width="16.42578125" customWidth="1"/>
  </cols>
  <sheetData>
    <row r="1" spans="1:18" ht="19.5" hidden="1" outlineLevel="1">
      <c r="A1" s="165" t="s">
        <v>276</v>
      </c>
    </row>
    <row r="2" spans="1:18" hidden="1" outlineLevel="1">
      <c r="A2" s="167" t="s">
        <v>277</v>
      </c>
    </row>
    <row r="3" spans="1:18" hidden="1" outlineLevel="1"/>
    <row r="4" spans="1:18" ht="15.75" collapsed="1">
      <c r="B4" s="168" t="s">
        <v>278</v>
      </c>
      <c r="C4" s="169" t="str">
        <f>INPUTS!C$3</f>
        <v>FY18-19</v>
      </c>
      <c r="D4" s="169" t="str">
        <f>INPUTS!D$3</f>
        <v>FY19-20</v>
      </c>
      <c r="E4" s="169" t="str">
        <f>INPUTS!E$3</f>
        <v>FY20-21</v>
      </c>
      <c r="F4" s="169" t="str">
        <f>INPUTS!F$3</f>
        <v>FY21-22</v>
      </c>
      <c r="G4" s="170" t="str">
        <f>INPUTS!G$3</f>
        <v>FY22-23</v>
      </c>
      <c r="H4" s="170" t="str">
        <f>INPUTS!H$3</f>
        <v>FY23-24</v>
      </c>
      <c r="I4" s="170" t="str">
        <f>INPUTS!I$3</f>
        <v>FY24-25</v>
      </c>
      <c r="J4" s="170" t="str">
        <f>INPUTS!J$3</f>
        <v>FY25-26</v>
      </c>
      <c r="K4" s="170" t="str">
        <f>INPUTS!K$3</f>
        <v>FY26-27</v>
      </c>
      <c r="L4" s="170" t="str">
        <f>INPUTS!L$3</f>
        <v>FY27-28</v>
      </c>
      <c r="M4" s="170" t="str">
        <f>INPUTS!M$3</f>
        <v>FY28-29</v>
      </c>
      <c r="N4" s="170" t="str">
        <f>INPUTS!N$3</f>
        <v>FY29-30</v>
      </c>
      <c r="O4" s="170" t="str">
        <f>INPUTS!O$3</f>
        <v>FY30-31</v>
      </c>
      <c r="Q4" s="171" t="s">
        <v>279</v>
      </c>
      <c r="R4" s="171" t="s">
        <v>280</v>
      </c>
    </row>
    <row r="5" spans="1:18" ht="15.75">
      <c r="A5" s="172"/>
      <c r="B5" s="173" t="s">
        <v>218</v>
      </c>
      <c r="C5" s="174">
        <f>ENROLLMENT!C63</f>
        <v>0</v>
      </c>
      <c r="D5" s="174">
        <f>ENROLLMENT!D63</f>
        <v>0</v>
      </c>
      <c r="E5" s="174">
        <f>ENROLLMENT!E63</f>
        <v>0</v>
      </c>
      <c r="F5" s="174">
        <f>ENROLLMENT!F63</f>
        <v>0</v>
      </c>
      <c r="G5" s="174">
        <f>ENROLLMENT!G63</f>
        <v>0</v>
      </c>
      <c r="H5" s="174">
        <f>ENROLLMENT!H63</f>
        <v>0</v>
      </c>
      <c r="I5" s="174">
        <f>ENROLLMENT!I63</f>
        <v>105</v>
      </c>
      <c r="J5" s="174">
        <f>ENROLLMENT!J63</f>
        <v>207</v>
      </c>
      <c r="K5" s="174">
        <f>ENROLLMENT!K63</f>
        <v>306</v>
      </c>
      <c r="L5" s="174">
        <f>ENROLLMENT!L63</f>
        <v>409</v>
      </c>
      <c r="M5" s="174">
        <f>ENROLLMENT!M63</f>
        <v>509</v>
      </c>
      <c r="N5" s="174">
        <f>ENROLLMENT!N63</f>
        <v>606</v>
      </c>
      <c r="O5" s="174">
        <f>ENROLLMENT!O63</f>
        <v>700</v>
      </c>
    </row>
    <row r="6" spans="1:18" ht="15.75">
      <c r="A6" s="172"/>
      <c r="B6" s="175" t="s">
        <v>281</v>
      </c>
      <c r="C6" s="176" t="e">
        <f>C157</f>
        <v>#REF!</v>
      </c>
      <c r="D6" s="176" t="e">
        <f t="shared" ref="D6:O6" si="0">D157</f>
        <v>#REF!</v>
      </c>
      <c r="E6" s="176" t="e">
        <f t="shared" si="0"/>
        <v>#REF!</v>
      </c>
      <c r="F6" s="176" t="e">
        <f t="shared" si="0"/>
        <v>#REF!</v>
      </c>
      <c r="G6" s="176">
        <f t="shared" si="0"/>
        <v>0</v>
      </c>
      <c r="H6" s="176">
        <f t="shared" si="0"/>
        <v>56103.263581920008</v>
      </c>
      <c r="I6" s="176">
        <f t="shared" si="0"/>
        <v>172668.22065169131</v>
      </c>
      <c r="J6" s="176">
        <f t="shared" si="0"/>
        <v>440719.26805723505</v>
      </c>
      <c r="K6" s="176">
        <f t="shared" si="0"/>
        <v>68574.251666217111</v>
      </c>
      <c r="L6" s="176">
        <f t="shared" si="0"/>
        <v>170244.88675627578</v>
      </c>
      <c r="M6" s="176">
        <f t="shared" si="0"/>
        <v>391512.42607030831</v>
      </c>
      <c r="N6" s="176">
        <f t="shared" si="0"/>
        <v>161893.7997818701</v>
      </c>
      <c r="O6" s="176">
        <f t="shared" si="0"/>
        <v>338844.91124419309</v>
      </c>
    </row>
    <row r="7" spans="1:18" ht="15.75">
      <c r="A7" s="172"/>
      <c r="B7" s="177" t="s">
        <v>282</v>
      </c>
      <c r="C7" s="178">
        <f t="shared" ref="C7:O7" si="1">IFERROR(C6/C86,0)</f>
        <v>0</v>
      </c>
      <c r="D7" s="178">
        <f t="shared" si="1"/>
        <v>0</v>
      </c>
      <c r="E7" s="178">
        <f t="shared" si="1"/>
        <v>0</v>
      </c>
      <c r="F7" s="178">
        <f t="shared" si="1"/>
        <v>0</v>
      </c>
      <c r="G7" s="178">
        <f t="shared" si="1"/>
        <v>0</v>
      </c>
      <c r="H7" s="178">
        <f t="shared" si="1"/>
        <v>0.14025815895480001</v>
      </c>
      <c r="I7" s="178">
        <f t="shared" si="1"/>
        <v>6.8873298717773701E-2</v>
      </c>
      <c r="J7" s="178">
        <f t="shared" si="1"/>
        <v>0.11372868319481613</v>
      </c>
      <c r="K7" s="178">
        <f t="shared" si="1"/>
        <v>1.4079061097617454E-2</v>
      </c>
      <c r="L7" s="178">
        <f t="shared" si="1"/>
        <v>2.6034197324431713E-2</v>
      </c>
      <c r="M7" s="178">
        <f t="shared" si="1"/>
        <v>4.6541905553033301E-2</v>
      </c>
      <c r="N7" s="178">
        <f t="shared" si="1"/>
        <v>1.6652815286073434E-2</v>
      </c>
      <c r="O7" s="178">
        <f t="shared" si="1"/>
        <v>2.9041457696762172E-2</v>
      </c>
    </row>
    <row r="8" spans="1:18" ht="15.75">
      <c r="A8" s="172"/>
      <c r="B8" s="179" t="s">
        <v>283</v>
      </c>
      <c r="C8" s="180">
        <f t="shared" ref="C8:O8" si="2">C59</f>
        <v>0</v>
      </c>
      <c r="D8" s="180">
        <f t="shared" si="2"/>
        <v>0</v>
      </c>
      <c r="E8" s="180">
        <f t="shared" si="2"/>
        <v>0</v>
      </c>
      <c r="F8" s="180">
        <f t="shared" si="2"/>
        <v>0</v>
      </c>
      <c r="G8" s="180">
        <f t="shared" si="2"/>
        <v>0</v>
      </c>
      <c r="H8" s="180">
        <f t="shared" si="2"/>
        <v>0</v>
      </c>
      <c r="I8" s="180">
        <f t="shared" si="2"/>
        <v>8.4</v>
      </c>
      <c r="J8" s="180">
        <f t="shared" si="2"/>
        <v>11.5</v>
      </c>
      <c r="K8" s="180">
        <f t="shared" si="2"/>
        <v>11.547169811320755</v>
      </c>
      <c r="L8" s="180">
        <f t="shared" si="2"/>
        <v>11.685714285714285</v>
      </c>
      <c r="M8" s="180">
        <f t="shared" si="2"/>
        <v>11.701149425287356</v>
      </c>
      <c r="N8" s="180">
        <f t="shared" si="2"/>
        <v>11.766990291262136</v>
      </c>
      <c r="O8" s="180">
        <f t="shared" si="2"/>
        <v>11.666666666666666</v>
      </c>
    </row>
    <row r="9" spans="1:18" ht="15.75" hidden="1" outlineLevel="1">
      <c r="A9" s="172"/>
      <c r="B9" s="181" t="s">
        <v>284</v>
      </c>
      <c r="C9" s="182"/>
      <c r="D9" s="182"/>
      <c r="E9" s="182"/>
      <c r="F9" s="182"/>
      <c r="G9" s="182"/>
      <c r="H9" s="182"/>
      <c r="I9" s="182"/>
      <c r="J9" s="182"/>
      <c r="K9" s="182"/>
      <c r="L9" s="182"/>
      <c r="M9" s="182"/>
      <c r="N9" s="182"/>
      <c r="O9" s="182"/>
    </row>
    <row r="10" spans="1:18" ht="15.75" hidden="1" outlineLevel="1">
      <c r="A10" s="172"/>
      <c r="B10" s="183" t="s">
        <v>285</v>
      </c>
      <c r="C10" s="184">
        <f t="shared" ref="C10:O10" si="3">IFERROR(C86/C31,0)</f>
        <v>0</v>
      </c>
      <c r="D10" s="184">
        <f t="shared" si="3"/>
        <v>0</v>
      </c>
      <c r="E10" s="184">
        <f t="shared" si="3"/>
        <v>0</v>
      </c>
      <c r="F10" s="184">
        <f t="shared" si="3"/>
        <v>0</v>
      </c>
      <c r="G10" s="184">
        <f t="shared" si="3"/>
        <v>0</v>
      </c>
      <c r="H10" s="184">
        <f t="shared" si="3"/>
        <v>0</v>
      </c>
      <c r="I10" s="184">
        <f t="shared" si="3"/>
        <v>23876.586063351235</v>
      </c>
      <c r="J10" s="184">
        <f t="shared" si="3"/>
        <v>18720.682679508278</v>
      </c>
      <c r="K10" s="184">
        <f t="shared" si="3"/>
        <v>15917.173744790956</v>
      </c>
      <c r="L10" s="184">
        <f t="shared" si="3"/>
        <v>15988.457861734591</v>
      </c>
      <c r="M10" s="184">
        <f t="shared" si="3"/>
        <v>16526.603495470998</v>
      </c>
      <c r="N10" s="184">
        <f t="shared" si="3"/>
        <v>16042.421668604011</v>
      </c>
      <c r="O10" s="184">
        <f t="shared" si="3"/>
        <v>16668.039324150181</v>
      </c>
    </row>
    <row r="11" spans="1:18" ht="15.75" hidden="1" outlineLevel="1">
      <c r="A11" s="172"/>
      <c r="B11" s="185" t="s">
        <v>286</v>
      </c>
      <c r="C11" s="186"/>
      <c r="D11" s="187"/>
      <c r="E11" s="187"/>
      <c r="F11" s="187"/>
      <c r="G11" s="188"/>
      <c r="H11" s="188"/>
      <c r="I11" s="188"/>
      <c r="J11" s="188"/>
      <c r="K11" s="188"/>
      <c r="L11" s="188"/>
      <c r="M11" s="189"/>
      <c r="N11" s="189"/>
      <c r="O11" s="189"/>
    </row>
    <row r="12" spans="1:18" ht="15.75" hidden="1" outlineLevel="1">
      <c r="A12" s="172"/>
      <c r="B12" s="183" t="s">
        <v>287</v>
      </c>
      <c r="C12" s="184">
        <f t="shared" ref="C12:O12" si="4">IFERROR((C94+C95)/(C34+C35),0)</f>
        <v>0</v>
      </c>
      <c r="D12" s="184">
        <f t="shared" si="4"/>
        <v>0</v>
      </c>
      <c r="E12" s="184">
        <f t="shared" si="4"/>
        <v>0</v>
      </c>
      <c r="F12" s="184">
        <f t="shared" si="4"/>
        <v>0</v>
      </c>
      <c r="G12" s="184">
        <f t="shared" si="4"/>
        <v>0</v>
      </c>
      <c r="H12" s="184">
        <f t="shared" si="4"/>
        <v>0</v>
      </c>
      <c r="I12" s="184">
        <f t="shared" si="4"/>
        <v>56849.259065322585</v>
      </c>
      <c r="J12" s="184">
        <f t="shared" si="4"/>
        <v>58552.702898238298</v>
      </c>
      <c r="K12" s="184">
        <f t="shared" si="4"/>
        <v>60308.55530441492</v>
      </c>
      <c r="L12" s="184">
        <f t="shared" si="4"/>
        <v>62118.405287551082</v>
      </c>
      <c r="M12" s="184">
        <f t="shared" si="4"/>
        <v>63981.657553366938</v>
      </c>
      <c r="N12" s="184">
        <f t="shared" si="4"/>
        <v>65901.359350406681</v>
      </c>
      <c r="O12" s="184">
        <f t="shared" si="4"/>
        <v>67878.076814910892</v>
      </c>
      <c r="R12" t="s">
        <v>288</v>
      </c>
    </row>
    <row r="13" spans="1:18" ht="15.75" hidden="1" outlineLevel="1">
      <c r="A13" s="172"/>
      <c r="B13" s="183" t="s">
        <v>289</v>
      </c>
      <c r="C13" s="187">
        <f t="shared" ref="C13:O13" si="5">IFERROR(SUM(C96:C103)/SUM(C36:C43),0)</f>
        <v>0</v>
      </c>
      <c r="D13" s="187">
        <f t="shared" si="5"/>
        <v>0</v>
      </c>
      <c r="E13" s="187">
        <f t="shared" si="5"/>
        <v>0</v>
      </c>
      <c r="F13" s="187">
        <f t="shared" si="5"/>
        <v>0</v>
      </c>
      <c r="G13" s="187">
        <f t="shared" si="5"/>
        <v>0</v>
      </c>
      <c r="H13" s="187">
        <f t="shared" si="5"/>
        <v>77506.927777777775</v>
      </c>
      <c r="I13" s="187">
        <f t="shared" si="5"/>
        <v>74271.330029629622</v>
      </c>
      <c r="J13" s="187">
        <f t="shared" si="5"/>
        <v>85663.677528800006</v>
      </c>
      <c r="K13" s="187">
        <f t="shared" si="5"/>
        <v>82165.573252087619</v>
      </c>
      <c r="L13" s="187">
        <f t="shared" si="5"/>
        <v>81158.287649287086</v>
      </c>
      <c r="M13" s="187">
        <f t="shared" si="5"/>
        <v>82341.289144234805</v>
      </c>
      <c r="N13" s="187">
        <f t="shared" si="5"/>
        <v>82877.578495711583</v>
      </c>
      <c r="O13" s="187">
        <f t="shared" si="5"/>
        <v>83941.071705914525</v>
      </c>
    </row>
    <row r="14" spans="1:18" ht="15.75" hidden="1" outlineLevel="1">
      <c r="A14" s="172"/>
      <c r="B14" s="183" t="s">
        <v>290</v>
      </c>
      <c r="C14" s="184">
        <f t="shared" ref="C14:O14" si="6">IFERROR((C93+C111)/C31,0)</f>
        <v>0</v>
      </c>
      <c r="D14" s="184">
        <f t="shared" si="6"/>
        <v>0</v>
      </c>
      <c r="E14" s="184">
        <f t="shared" si="6"/>
        <v>0</v>
      </c>
      <c r="F14" s="184">
        <f t="shared" si="6"/>
        <v>0</v>
      </c>
      <c r="G14" s="184">
        <f t="shared" si="6"/>
        <v>0</v>
      </c>
      <c r="H14" s="184">
        <f t="shared" si="6"/>
        <v>0</v>
      </c>
      <c r="I14" s="184">
        <f t="shared" si="6"/>
        <v>10527.868968047047</v>
      </c>
      <c r="J14" s="184">
        <f t="shared" si="6"/>
        <v>7643.2102866999658</v>
      </c>
      <c r="K14" s="184">
        <f t="shared" si="6"/>
        <v>7722.6829279600752</v>
      </c>
      <c r="L14" s="184">
        <f t="shared" si="6"/>
        <v>7786.5710520213242</v>
      </c>
      <c r="M14" s="184">
        <f t="shared" si="6"/>
        <v>7946.3390338716863</v>
      </c>
      <c r="N14" s="184">
        <f t="shared" si="6"/>
        <v>8095.4907284473611</v>
      </c>
      <c r="O14" s="184">
        <f t="shared" si="6"/>
        <v>8368.9007075772515</v>
      </c>
    </row>
    <row r="15" spans="1:18" ht="15.75" hidden="1" outlineLevel="1">
      <c r="A15" s="172"/>
      <c r="B15" s="183" t="s">
        <v>291</v>
      </c>
      <c r="C15" s="187">
        <f>IFERROR((C120+C136+C149)/C31,0)</f>
        <v>0</v>
      </c>
      <c r="D15" s="187">
        <f>IFERROR((D120+D136+D149)/D31,0)</f>
        <v>0</v>
      </c>
      <c r="E15" s="187">
        <f>IFERROR((E120+E136+E149)/E31,0)</f>
        <v>0</v>
      </c>
      <c r="F15" s="187">
        <f>IFERROR((F120+F136+F149)/F31,0)</f>
        <v>0</v>
      </c>
      <c r="G15" s="187">
        <f>IFERROR((G120+G136+G149)/G31,0)</f>
        <v>0</v>
      </c>
      <c r="H15" s="187">
        <f>IFERROR((H120+I136+I149)/H31,0)</f>
        <v>0</v>
      </c>
      <c r="I15" s="187">
        <f>IFERROR((I120+#REF!+#REF!)/I31,0)</f>
        <v>0</v>
      </c>
      <c r="J15" s="187">
        <f t="shared" ref="J15:O15" si="7">IFERROR((J120+J136+J149)/J31,0)</f>
        <v>6548.270672366114</v>
      </c>
      <c r="K15" s="187">
        <f t="shared" si="7"/>
        <v>5850.6197178545908</v>
      </c>
      <c r="L15" s="187">
        <f t="shared" si="7"/>
        <v>5658.7394938111556</v>
      </c>
      <c r="M15" s="187">
        <f t="shared" si="7"/>
        <v>5630.3696302106773</v>
      </c>
      <c r="N15" s="187">
        <f t="shared" si="7"/>
        <v>5547.4824256647917</v>
      </c>
      <c r="O15" s="187">
        <f t="shared" si="7"/>
        <v>5620.2156623947421</v>
      </c>
    </row>
    <row r="16" spans="1:18" ht="15.75" hidden="1" outlineLevel="1">
      <c r="A16" s="172"/>
      <c r="B16" s="183" t="s">
        <v>292</v>
      </c>
      <c r="C16" s="184">
        <f t="shared" ref="C16:O16" si="8">IFERROR(C154/C31,0)</f>
        <v>0</v>
      </c>
      <c r="D16" s="184">
        <f t="shared" si="8"/>
        <v>0</v>
      </c>
      <c r="E16" s="184">
        <f t="shared" si="8"/>
        <v>0</v>
      </c>
      <c r="F16" s="184">
        <f t="shared" si="8"/>
        <v>0</v>
      </c>
      <c r="G16" s="184">
        <f t="shared" si="8"/>
        <v>0</v>
      </c>
      <c r="H16" s="184">
        <f t="shared" si="8"/>
        <v>0</v>
      </c>
      <c r="I16" s="184">
        <f t="shared" si="8"/>
        <v>22232.126819049412</v>
      </c>
      <c r="J16" s="184">
        <f t="shared" si="8"/>
        <v>16591.6040898598</v>
      </c>
      <c r="K16" s="184">
        <f t="shared" si="8"/>
        <v>15693.074883136651</v>
      </c>
      <c r="L16" s="184">
        <f t="shared" si="8"/>
        <v>15572.211194848831</v>
      </c>
      <c r="M16" s="184">
        <f t="shared" si="8"/>
        <v>15757.423876472356</v>
      </c>
      <c r="N16" s="184">
        <f t="shared" si="8"/>
        <v>15775.270183815446</v>
      </c>
      <c r="O16" s="184">
        <f t="shared" si="8"/>
        <v>16183.975165229906</v>
      </c>
    </row>
    <row r="17" spans="1:15" ht="15.75" hidden="1" outlineLevel="1">
      <c r="A17" s="172"/>
      <c r="B17" s="183" t="s">
        <v>293</v>
      </c>
      <c r="C17" s="190">
        <f t="shared" ref="C17:O17" si="9">IFERROR((C93+C111)/C154,0)</f>
        <v>0</v>
      </c>
      <c r="D17" s="190">
        <f t="shared" si="9"/>
        <v>0</v>
      </c>
      <c r="E17" s="190">
        <f t="shared" si="9"/>
        <v>0</v>
      </c>
      <c r="F17" s="190">
        <f t="shared" si="9"/>
        <v>0</v>
      </c>
      <c r="G17" s="190">
        <f t="shared" si="9"/>
        <v>0</v>
      </c>
      <c r="H17" s="190">
        <f t="shared" si="9"/>
        <v>0.88368601453847051</v>
      </c>
      <c r="I17" s="190">
        <f t="shared" si="9"/>
        <v>0.4735430421810265</v>
      </c>
      <c r="J17" s="190">
        <f t="shared" si="9"/>
        <v>0.46066734990206432</v>
      </c>
      <c r="K17" s="190">
        <f t="shared" si="9"/>
        <v>0.49210769625898226</v>
      </c>
      <c r="L17" s="190">
        <f t="shared" si="9"/>
        <v>0.50002989007733611</v>
      </c>
      <c r="M17" s="190">
        <f t="shared" si="9"/>
        <v>0.50429176089731798</v>
      </c>
      <c r="N17" s="190">
        <f t="shared" si="9"/>
        <v>0.51317604288976848</v>
      </c>
      <c r="O17" s="190">
        <f t="shared" si="9"/>
        <v>0.51711032809523994</v>
      </c>
    </row>
    <row r="18" spans="1:15" ht="15.75" hidden="1" outlineLevel="1">
      <c r="A18" s="172"/>
      <c r="B18" s="183" t="s">
        <v>294</v>
      </c>
      <c r="C18" s="184">
        <f t="shared" ref="C18:O18" si="10">IFERROR(C10-C16,0)</f>
        <v>0</v>
      </c>
      <c r="D18" s="184">
        <f t="shared" si="10"/>
        <v>0</v>
      </c>
      <c r="E18" s="184">
        <f t="shared" si="10"/>
        <v>0</v>
      </c>
      <c r="F18" s="184">
        <f t="shared" si="10"/>
        <v>0</v>
      </c>
      <c r="G18" s="184">
        <f t="shared" si="10"/>
        <v>0</v>
      </c>
      <c r="H18" s="184">
        <f t="shared" si="10"/>
        <v>0</v>
      </c>
      <c r="I18" s="184">
        <f t="shared" si="10"/>
        <v>1644.4592443018228</v>
      </c>
      <c r="J18" s="184">
        <f t="shared" si="10"/>
        <v>2129.0785896484776</v>
      </c>
      <c r="K18" s="184">
        <f t="shared" si="10"/>
        <v>224.09886165430544</v>
      </c>
      <c r="L18" s="184">
        <f t="shared" si="10"/>
        <v>416.24666688575962</v>
      </c>
      <c r="M18" s="184">
        <f t="shared" si="10"/>
        <v>769.17961899864167</v>
      </c>
      <c r="N18" s="184">
        <f t="shared" si="10"/>
        <v>267.15148478856463</v>
      </c>
      <c r="O18" s="184">
        <f t="shared" si="10"/>
        <v>484.06415892027508</v>
      </c>
    </row>
    <row r="19" spans="1:15" s="194" customFormat="1" ht="16.5" hidden="1" outlineLevel="1" thickBot="1">
      <c r="A19" s="191"/>
      <c r="B19" s="192" t="s">
        <v>295</v>
      </c>
      <c r="C19" s="193">
        <f>IFERROR(#REF!-C16,0)</f>
        <v>0</v>
      </c>
      <c r="D19" s="193">
        <f>IFERROR(#REF!-D16,0)</f>
        <v>0</v>
      </c>
      <c r="E19" s="193">
        <f>IFERROR(#REF!-E16,0)</f>
        <v>0</v>
      </c>
      <c r="F19" s="193">
        <f>IFERROR(#REF!-F16,0)</f>
        <v>0</v>
      </c>
      <c r="G19" s="193">
        <f>IFERROR(#REF!-G16,0)</f>
        <v>0</v>
      </c>
      <c r="H19" s="193">
        <f>IFERROR(#REF!-H16,0)</f>
        <v>0</v>
      </c>
      <c r="I19" s="193">
        <f>IFERROR(#REF!-I16,0)</f>
        <v>0</v>
      </c>
      <c r="J19" s="193">
        <f>IFERROR(#REF!-J16,0)</f>
        <v>0</v>
      </c>
      <c r="K19" s="193">
        <f>IFERROR(#REF!-K16,0)</f>
        <v>0</v>
      </c>
      <c r="L19" s="193">
        <f>IFERROR(#REF!-L16,0)</f>
        <v>0</v>
      </c>
      <c r="M19" s="193">
        <f>IFERROR(#REF!-M16,0)</f>
        <v>0</v>
      </c>
      <c r="N19" s="193">
        <f>IFERROR(#REF!-N16,0)</f>
        <v>0</v>
      </c>
      <c r="O19" s="193">
        <f>IFERROR(#REF!-O16,0)</f>
        <v>0</v>
      </c>
    </row>
    <row r="20" spans="1:15" ht="15.75" hidden="1" outlineLevel="1">
      <c r="A20" s="172"/>
      <c r="B20" s="195"/>
      <c r="C20" s="196"/>
      <c r="D20" s="196"/>
      <c r="E20" s="196"/>
      <c r="F20" s="196"/>
      <c r="G20" s="195"/>
      <c r="H20" s="195"/>
      <c r="I20" s="195"/>
      <c r="J20" s="195"/>
      <c r="K20" s="195"/>
      <c r="L20" s="195"/>
      <c r="M20" s="195"/>
      <c r="N20" s="195"/>
      <c r="O20" s="195"/>
    </row>
    <row r="21" spans="1:15" ht="15.75" collapsed="1">
      <c r="A21" s="172"/>
      <c r="B21" s="195"/>
      <c r="C21" s="196"/>
      <c r="D21" s="196"/>
      <c r="E21" s="196"/>
      <c r="F21" s="196"/>
      <c r="G21" s="195"/>
      <c r="H21" s="195"/>
      <c r="I21" s="195"/>
      <c r="J21" s="195"/>
      <c r="K21" s="195"/>
      <c r="L21" s="195"/>
      <c r="M21" s="195"/>
      <c r="N21" s="195"/>
      <c r="O21" s="195"/>
    </row>
    <row r="22" spans="1:15" ht="15.75">
      <c r="A22" s="172"/>
      <c r="B22" s="195"/>
      <c r="C22" s="196"/>
      <c r="D22" s="196"/>
      <c r="E22" s="196"/>
      <c r="F22" s="196"/>
      <c r="G22" s="195"/>
      <c r="H22" s="195"/>
      <c r="I22" s="195"/>
      <c r="J22" s="195"/>
      <c r="K22" s="195"/>
      <c r="L22" s="195"/>
      <c r="M22" s="195"/>
      <c r="N22" s="195"/>
      <c r="O22" s="195"/>
    </row>
    <row r="23" spans="1:15" ht="15.75">
      <c r="A23" s="197" t="s">
        <v>296</v>
      </c>
      <c r="B23" s="197"/>
      <c r="C23" s="198"/>
      <c r="D23" s="198"/>
      <c r="E23" s="198"/>
      <c r="F23" s="198"/>
      <c r="G23" s="197"/>
      <c r="H23" s="197"/>
      <c r="I23" s="197"/>
      <c r="J23" s="197"/>
      <c r="K23" s="197"/>
      <c r="L23" s="197"/>
      <c r="M23" s="197"/>
      <c r="N23" s="197"/>
      <c r="O23" s="197"/>
    </row>
    <row r="24" spans="1:15" ht="15.75">
      <c r="A24" s="197"/>
      <c r="B24" s="199">
        <v>6</v>
      </c>
      <c r="C24" s="200">
        <f>ENROLLMENT!C56</f>
        <v>0</v>
      </c>
      <c r="D24" s="200">
        <f>ENROLLMENT!D56</f>
        <v>0</v>
      </c>
      <c r="E24" s="200">
        <f>ENROLLMENT!E56</f>
        <v>0</v>
      </c>
      <c r="F24" s="200">
        <f>ENROLLMENT!F56</f>
        <v>0</v>
      </c>
      <c r="G24" s="200">
        <f>ENROLLMENT!G56</f>
        <v>0</v>
      </c>
      <c r="H24" s="200">
        <f>ENROLLMENT!H56</f>
        <v>0</v>
      </c>
      <c r="I24" s="200">
        <f>ENROLLMENT!I56</f>
        <v>105</v>
      </c>
      <c r="J24" s="200">
        <f>ENROLLMENT!J56</f>
        <v>105</v>
      </c>
      <c r="K24" s="200">
        <f>ENROLLMENT!K56</f>
        <v>105</v>
      </c>
      <c r="L24" s="200">
        <f>ENROLLMENT!L56</f>
        <v>105</v>
      </c>
      <c r="M24" s="200">
        <f>ENROLLMENT!M56</f>
        <v>105</v>
      </c>
      <c r="N24" s="200">
        <f>ENROLLMENT!N56</f>
        <v>105</v>
      </c>
      <c r="O24" s="200">
        <f>ENROLLMENT!O56</f>
        <v>105</v>
      </c>
    </row>
    <row r="25" spans="1:15" ht="15.75">
      <c r="A25" s="197"/>
      <c r="B25" s="199">
        <v>7</v>
      </c>
      <c r="C25" s="200">
        <f>ENROLLMENT!C57</f>
        <v>0</v>
      </c>
      <c r="D25" s="200">
        <f>ENROLLMENT!D57</f>
        <v>0</v>
      </c>
      <c r="E25" s="200">
        <f>ENROLLMENT!E57</f>
        <v>0</v>
      </c>
      <c r="F25" s="200">
        <f>ENROLLMENT!F57</f>
        <v>0</v>
      </c>
      <c r="G25" s="200">
        <f>ENROLLMENT!G57</f>
        <v>0</v>
      </c>
      <c r="H25" s="200">
        <f>ENROLLMENT!H57</f>
        <v>0</v>
      </c>
      <c r="I25" s="200">
        <f>ENROLLMENT!I57</f>
        <v>0</v>
      </c>
      <c r="J25" s="200">
        <f>ENROLLMENT!J57</f>
        <v>102</v>
      </c>
      <c r="K25" s="200">
        <f>ENROLLMENT!K57</f>
        <v>102</v>
      </c>
      <c r="L25" s="200">
        <f>ENROLLMENT!L57</f>
        <v>102</v>
      </c>
      <c r="M25" s="200">
        <f>ENROLLMENT!M57</f>
        <v>102</v>
      </c>
      <c r="N25" s="200">
        <f>ENROLLMENT!N57</f>
        <v>102</v>
      </c>
      <c r="O25" s="200">
        <f>ENROLLMENT!O57</f>
        <v>102</v>
      </c>
    </row>
    <row r="26" spans="1:15" ht="15.75">
      <c r="A26" s="197"/>
      <c r="B26" s="199">
        <v>8</v>
      </c>
      <c r="C26" s="200">
        <f>ENROLLMENT!C58</f>
        <v>0</v>
      </c>
      <c r="D26" s="200">
        <f>ENROLLMENT!D58</f>
        <v>0</v>
      </c>
      <c r="E26" s="200">
        <f>ENROLLMENT!E58</f>
        <v>0</v>
      </c>
      <c r="F26" s="200">
        <f>ENROLLMENT!F58</f>
        <v>0</v>
      </c>
      <c r="G26" s="200">
        <f>ENROLLMENT!G58</f>
        <v>0</v>
      </c>
      <c r="H26" s="200">
        <f>ENROLLMENT!H58</f>
        <v>0</v>
      </c>
      <c r="I26" s="200">
        <f>ENROLLMENT!I58</f>
        <v>0</v>
      </c>
      <c r="J26" s="200">
        <f>ENROLLMENT!J58</f>
        <v>0</v>
      </c>
      <c r="K26" s="200">
        <f>ENROLLMENT!K58</f>
        <v>99</v>
      </c>
      <c r="L26" s="200">
        <f>ENROLLMENT!L58</f>
        <v>99</v>
      </c>
      <c r="M26" s="200">
        <f>ENROLLMENT!M58</f>
        <v>99</v>
      </c>
      <c r="N26" s="200">
        <f>ENROLLMENT!N58</f>
        <v>99</v>
      </c>
      <c r="O26" s="200">
        <f>ENROLLMENT!O58</f>
        <v>99</v>
      </c>
    </row>
    <row r="27" spans="1:15" ht="15.75">
      <c r="A27" s="197"/>
      <c r="B27" s="199">
        <v>9</v>
      </c>
      <c r="C27" s="200">
        <f>ENROLLMENT!C59</f>
        <v>0</v>
      </c>
      <c r="D27" s="200">
        <f>ENROLLMENT!D59</f>
        <v>0</v>
      </c>
      <c r="E27" s="200">
        <f>ENROLLMENT!E59</f>
        <v>0</v>
      </c>
      <c r="F27" s="200">
        <f>ENROLLMENT!F59</f>
        <v>0</v>
      </c>
      <c r="G27" s="200">
        <f>ENROLLMENT!G59</f>
        <v>0</v>
      </c>
      <c r="H27" s="200">
        <f>ENROLLMENT!H59</f>
        <v>0</v>
      </c>
      <c r="I27" s="200">
        <f>ENROLLMENT!I59</f>
        <v>0</v>
      </c>
      <c r="J27" s="200">
        <f>ENROLLMENT!J59</f>
        <v>0</v>
      </c>
      <c r="K27" s="200">
        <f>ENROLLMENT!K59</f>
        <v>0</v>
      </c>
      <c r="L27" s="200">
        <f>ENROLLMENT!L59</f>
        <v>103</v>
      </c>
      <c r="M27" s="200">
        <f>ENROLLMENT!M59</f>
        <v>103</v>
      </c>
      <c r="N27" s="200">
        <f>ENROLLMENT!N59</f>
        <v>103</v>
      </c>
      <c r="O27" s="200">
        <f>ENROLLMENT!O59</f>
        <v>103</v>
      </c>
    </row>
    <row r="28" spans="1:15" ht="15.75">
      <c r="A28" s="197"/>
      <c r="B28" s="199">
        <v>10</v>
      </c>
      <c r="C28" s="200">
        <f>ENROLLMENT!C60</f>
        <v>0</v>
      </c>
      <c r="D28" s="200">
        <f>ENROLLMENT!D60</f>
        <v>0</v>
      </c>
      <c r="E28" s="200">
        <f>ENROLLMENT!E60</f>
        <v>0</v>
      </c>
      <c r="F28" s="200">
        <f>ENROLLMENT!F60</f>
        <v>0</v>
      </c>
      <c r="G28" s="200">
        <f>ENROLLMENT!G60</f>
        <v>0</v>
      </c>
      <c r="H28" s="200">
        <f>ENROLLMENT!H60</f>
        <v>0</v>
      </c>
      <c r="I28" s="200">
        <f>ENROLLMENT!I60</f>
        <v>0</v>
      </c>
      <c r="J28" s="200">
        <f>ENROLLMENT!J60</f>
        <v>0</v>
      </c>
      <c r="K28" s="200">
        <f>ENROLLMENT!K60</f>
        <v>0</v>
      </c>
      <c r="L28" s="200">
        <f>ENROLLMENT!L60</f>
        <v>0</v>
      </c>
      <c r="M28" s="200">
        <f>ENROLLMENT!M60</f>
        <v>100</v>
      </c>
      <c r="N28" s="200">
        <f>ENROLLMENT!N60</f>
        <v>100</v>
      </c>
      <c r="O28" s="200">
        <f>ENROLLMENT!O60</f>
        <v>100</v>
      </c>
    </row>
    <row r="29" spans="1:15" ht="15.75">
      <c r="A29" s="197"/>
      <c r="B29" s="199">
        <v>11</v>
      </c>
      <c r="C29" s="200">
        <f>ENROLLMENT!C61</f>
        <v>0</v>
      </c>
      <c r="D29" s="200">
        <f>ENROLLMENT!D61</f>
        <v>0</v>
      </c>
      <c r="E29" s="200">
        <f>ENROLLMENT!E61</f>
        <v>0</v>
      </c>
      <c r="F29" s="200">
        <f>ENROLLMENT!F61</f>
        <v>0</v>
      </c>
      <c r="G29" s="200">
        <f>ENROLLMENT!G61</f>
        <v>0</v>
      </c>
      <c r="H29" s="200">
        <f>ENROLLMENT!H61</f>
        <v>0</v>
      </c>
      <c r="I29" s="200">
        <f>ENROLLMENT!I61</f>
        <v>0</v>
      </c>
      <c r="J29" s="200">
        <f>ENROLLMENT!J61</f>
        <v>0</v>
      </c>
      <c r="K29" s="200">
        <f>ENROLLMENT!K61</f>
        <v>0</v>
      </c>
      <c r="L29" s="200">
        <f>ENROLLMENT!L61</f>
        <v>0</v>
      </c>
      <c r="M29" s="200">
        <f>ENROLLMENT!M61</f>
        <v>0</v>
      </c>
      <c r="N29" s="200">
        <f>ENROLLMENT!N61</f>
        <v>97</v>
      </c>
      <c r="O29" s="200">
        <f>ENROLLMENT!O61</f>
        <v>97</v>
      </c>
    </row>
    <row r="30" spans="1:15" ht="15.75">
      <c r="A30" s="197"/>
      <c r="B30" s="199">
        <v>12</v>
      </c>
      <c r="C30" s="200">
        <f>ENROLLMENT!C62</f>
        <v>0</v>
      </c>
      <c r="D30" s="200">
        <f>ENROLLMENT!D62</f>
        <v>0</v>
      </c>
      <c r="E30" s="200">
        <f>ENROLLMENT!E62</f>
        <v>0</v>
      </c>
      <c r="F30" s="200">
        <f>ENROLLMENT!F62</f>
        <v>0</v>
      </c>
      <c r="G30" s="200">
        <f>ENROLLMENT!G62</f>
        <v>0</v>
      </c>
      <c r="H30" s="200">
        <f>ENROLLMENT!H62</f>
        <v>0</v>
      </c>
      <c r="I30" s="200">
        <f>ENROLLMENT!I62</f>
        <v>0</v>
      </c>
      <c r="J30" s="200">
        <f>ENROLLMENT!J62</f>
        <v>0</v>
      </c>
      <c r="K30" s="200">
        <f>ENROLLMENT!K62</f>
        <v>0</v>
      </c>
      <c r="L30" s="200">
        <f>ENROLLMENT!L62</f>
        <v>0</v>
      </c>
      <c r="M30" s="200">
        <f>ENROLLMENT!M62</f>
        <v>0</v>
      </c>
      <c r="N30" s="200">
        <f>ENROLLMENT!N62</f>
        <v>0</v>
      </c>
      <c r="O30" s="200">
        <f>ENROLLMENT!O62</f>
        <v>94</v>
      </c>
    </row>
    <row r="31" spans="1:15" ht="15.75">
      <c r="A31" s="197"/>
      <c r="B31" s="201" t="s">
        <v>297</v>
      </c>
      <c r="C31" s="202">
        <f>SUM(C24:C30)</f>
        <v>0</v>
      </c>
      <c r="D31" s="202">
        <f t="shared" ref="D31:O31" si="11">SUM(D24:D30)</f>
        <v>0</v>
      </c>
      <c r="E31" s="202">
        <f t="shared" si="11"/>
        <v>0</v>
      </c>
      <c r="F31" s="202">
        <f t="shared" si="11"/>
        <v>0</v>
      </c>
      <c r="G31" s="202">
        <f t="shared" si="11"/>
        <v>0</v>
      </c>
      <c r="H31" s="202">
        <f t="shared" si="11"/>
        <v>0</v>
      </c>
      <c r="I31" s="202">
        <f t="shared" si="11"/>
        <v>105</v>
      </c>
      <c r="J31" s="202">
        <f t="shared" si="11"/>
        <v>207</v>
      </c>
      <c r="K31" s="202">
        <f t="shared" si="11"/>
        <v>306</v>
      </c>
      <c r="L31" s="202">
        <f t="shared" si="11"/>
        <v>409</v>
      </c>
      <c r="M31" s="202">
        <f t="shared" si="11"/>
        <v>509</v>
      </c>
      <c r="N31" s="202">
        <f t="shared" si="11"/>
        <v>606</v>
      </c>
      <c r="O31" s="202">
        <f t="shared" si="11"/>
        <v>700</v>
      </c>
    </row>
    <row r="32" spans="1:15" ht="15.75">
      <c r="A32" s="197"/>
      <c r="B32" s="203"/>
      <c r="C32" s="204"/>
      <c r="D32" s="205"/>
      <c r="E32" s="205"/>
      <c r="F32" s="205"/>
      <c r="G32" s="206"/>
      <c r="H32" s="206"/>
      <c r="I32" s="206"/>
      <c r="J32" s="206"/>
      <c r="K32" s="206"/>
    </row>
    <row r="33" spans="1:15" ht="15.75">
      <c r="A33" s="197" t="s">
        <v>298</v>
      </c>
      <c r="B33" s="197"/>
      <c r="C33" s="198"/>
      <c r="D33" s="198"/>
      <c r="E33" s="205"/>
      <c r="F33" s="205"/>
      <c r="G33" s="207"/>
      <c r="H33" s="207"/>
      <c r="I33" s="207"/>
      <c r="J33" s="208"/>
      <c r="K33" s="208"/>
      <c r="L33" s="208"/>
      <c r="M33" s="208"/>
      <c r="N33" s="208"/>
      <c r="O33" s="208"/>
    </row>
    <row r="34" spans="1:15" ht="15.75">
      <c r="A34" s="197"/>
      <c r="B34" s="199" t="str">
        <f>'[2]FromCP_FY23-Staffing Sheet'!J4</f>
        <v xml:space="preserve">Lead Teacher </v>
      </c>
      <c r="C34" s="209">
        <f>[2]STAFF_KPB!C27</f>
        <v>0</v>
      </c>
      <c r="D34" s="209">
        <f>[2]STAFF_KPB!D27</f>
        <v>0</v>
      </c>
      <c r="E34" s="209">
        <f>[2]STAFF_KPB!E27</f>
        <v>0</v>
      </c>
      <c r="F34" s="209">
        <f>[2]STAFF_KPB!F27</f>
        <v>0</v>
      </c>
      <c r="G34" s="209">
        <f>[2]STAFF_KPB!G27</f>
        <v>0</v>
      </c>
      <c r="H34" s="209">
        <f>[2]STAFF_KPB!H27</f>
        <v>0</v>
      </c>
      <c r="I34" s="209">
        <f>[2]STAFF_KPB!I27</f>
        <v>7</v>
      </c>
      <c r="J34" s="209">
        <f>[2]STAFF_KPB!J27</f>
        <v>13</v>
      </c>
      <c r="K34" s="209">
        <f>[2]STAFF_KPB!K27</f>
        <v>19</v>
      </c>
      <c r="L34" s="209">
        <f>[2]STAFF_KPB!L27</f>
        <v>25.5</v>
      </c>
      <c r="M34" s="209">
        <f>[2]STAFF_KPB!M27</f>
        <v>32</v>
      </c>
      <c r="N34" s="209">
        <f>[2]STAFF_KPB!N27</f>
        <v>38</v>
      </c>
      <c r="O34" s="209">
        <f>[2]STAFF_KPB!O27</f>
        <v>44</v>
      </c>
    </row>
    <row r="35" spans="1:15" ht="15.75">
      <c r="A35" s="197"/>
      <c r="B35" s="199" t="str">
        <f>'[2]FromCP_FY23-Staffing Sheet'!J5</f>
        <v>SPED, Specials, Supports</v>
      </c>
      <c r="C35" s="209">
        <f>[2]STAFF_KPB!C28</f>
        <v>0</v>
      </c>
      <c r="D35" s="209">
        <f>[2]STAFF_KPB!D28</f>
        <v>0</v>
      </c>
      <c r="E35" s="209">
        <f>[2]STAFF_KPB!E28</f>
        <v>0</v>
      </c>
      <c r="F35" s="209">
        <f>[2]STAFF_KPB!F28</f>
        <v>0</v>
      </c>
      <c r="G35" s="209">
        <f>[2]STAFF_KPB!G28</f>
        <v>0</v>
      </c>
      <c r="H35" s="209">
        <f>[2]STAFF_KPB!H28</f>
        <v>0</v>
      </c>
      <c r="I35" s="209">
        <f>[2]STAFF_KPB!I28</f>
        <v>1</v>
      </c>
      <c r="J35" s="209">
        <f>[2]STAFF_KPB!J28</f>
        <v>2.5</v>
      </c>
      <c r="K35" s="209">
        <f>[2]STAFF_KPB!K28</f>
        <v>4</v>
      </c>
      <c r="L35" s="209">
        <f>[2]STAFF_KPB!L28</f>
        <v>5</v>
      </c>
      <c r="M35" s="209">
        <f>[2]STAFF_KPB!M28</f>
        <v>6.5</v>
      </c>
      <c r="N35" s="209">
        <f>[2]STAFF_KPB!N28</f>
        <v>7.5</v>
      </c>
      <c r="O35" s="209">
        <f>[2]STAFF_KPB!O28</f>
        <v>9</v>
      </c>
    </row>
    <row r="36" spans="1:15" ht="15.75">
      <c r="A36" s="197"/>
      <c r="B36" s="199" t="str">
        <f>'[2]FromCP_FY23-Staffing Sheet'!J6</f>
        <v xml:space="preserve">Principal </v>
      </c>
      <c r="C36" s="209">
        <f>[2]STAFF_KPB!C29</f>
        <v>0</v>
      </c>
      <c r="D36" s="209">
        <f>[2]STAFF_KPB!D29</f>
        <v>0</v>
      </c>
      <c r="E36" s="209">
        <f>[2]STAFF_KPB!E29</f>
        <v>0</v>
      </c>
      <c r="F36" s="209">
        <f>[2]STAFF_KPB!F29</f>
        <v>0</v>
      </c>
      <c r="G36" s="209">
        <f>[2]STAFF_KPB!G29</f>
        <v>0</v>
      </c>
      <c r="H36" s="209">
        <f>[2]STAFF_KPB!H29</f>
        <v>1</v>
      </c>
      <c r="I36" s="209">
        <f>[2]STAFF_KPB!I29</f>
        <v>1</v>
      </c>
      <c r="J36" s="209">
        <f>[2]STAFF_KPB!J29</f>
        <v>1</v>
      </c>
      <c r="K36" s="209">
        <f>[2]STAFF_KPB!K29</f>
        <v>1</v>
      </c>
      <c r="L36" s="209">
        <f>[2]STAFF_KPB!L29</f>
        <v>1</v>
      </c>
      <c r="M36" s="209">
        <f>[2]STAFF_KPB!M29</f>
        <v>1</v>
      </c>
      <c r="N36" s="209">
        <f>[2]STAFF_KPB!N29</f>
        <v>1</v>
      </c>
      <c r="O36" s="209">
        <f>[2]STAFF_KPB!O29</f>
        <v>1</v>
      </c>
    </row>
    <row r="37" spans="1:15" ht="15.75">
      <c r="A37" s="197"/>
      <c r="B37" s="199" t="str">
        <f>'[2]FromCP_FY23-Staffing Sheet'!J7</f>
        <v>Operations, Admin, APs</v>
      </c>
      <c r="C37" s="209">
        <f>[2]STAFF_KPB!C30</f>
        <v>0</v>
      </c>
      <c r="D37" s="209">
        <f>[2]STAFF_KPB!D30</f>
        <v>0</v>
      </c>
      <c r="E37" s="209">
        <f>[2]STAFF_KPB!E30</f>
        <v>0</v>
      </c>
      <c r="F37" s="209">
        <f>[2]STAFF_KPB!F30</f>
        <v>0</v>
      </c>
      <c r="G37" s="209">
        <f>[2]STAFF_KPB!G30</f>
        <v>0</v>
      </c>
      <c r="H37" s="209">
        <f>[2]STAFF_KPB!H30</f>
        <v>2</v>
      </c>
      <c r="I37" s="209">
        <f>[2]STAFF_KPB!I30</f>
        <v>3.5</v>
      </c>
      <c r="J37" s="209">
        <f>[2]STAFF_KPB!J30</f>
        <v>1.5</v>
      </c>
      <c r="K37" s="209">
        <f>[2]STAFF_KPB!K30</f>
        <v>2.5</v>
      </c>
      <c r="L37" s="209">
        <f>[2]STAFF_KPB!L30</f>
        <v>3.5</v>
      </c>
      <c r="M37" s="209">
        <f>[2]STAFF_KPB!M30</f>
        <v>4</v>
      </c>
      <c r="N37" s="209">
        <f>[2]STAFF_KPB!N30</f>
        <v>5</v>
      </c>
      <c r="O37" s="209">
        <f>[2]STAFF_KPB!O30</f>
        <v>6</v>
      </c>
    </row>
    <row r="38" spans="1:15" ht="15.75">
      <c r="A38" s="197"/>
      <c r="B38" s="199" t="str">
        <f>'[2]FromCP_FY23-Staffing Sheet'!J8</f>
        <v>Central - Exec</v>
      </c>
      <c r="C38" s="209">
        <f>[2]STAFF_KPB!C31</f>
        <v>0</v>
      </c>
      <c r="D38" s="209">
        <f>[2]STAFF_KPB!D31</f>
        <v>0</v>
      </c>
      <c r="E38" s="209">
        <f>[2]STAFF_KPB!E31</f>
        <v>0</v>
      </c>
      <c r="F38" s="209">
        <f>[2]STAFF_KPB!F31</f>
        <v>0</v>
      </c>
      <c r="G38" s="209">
        <f>[2]STAFF_KPB!G31</f>
        <v>0</v>
      </c>
      <c r="H38" s="209">
        <f>[2]STAFF_KPB!H31</f>
        <v>0</v>
      </c>
      <c r="I38" s="209">
        <f>[2]STAFF_KPB!I31</f>
        <v>0</v>
      </c>
      <c r="J38" s="209">
        <f>[2]STAFF_KPB!J31</f>
        <v>0</v>
      </c>
      <c r="K38" s="209">
        <f>[2]STAFF_KPB!K31</f>
        <v>0</v>
      </c>
      <c r="L38" s="209">
        <f>[2]STAFF_KPB!L31</f>
        <v>0</v>
      </c>
      <c r="M38" s="209">
        <f>[2]STAFF_KPB!M31</f>
        <v>0</v>
      </c>
      <c r="N38" s="209">
        <f>[2]STAFF_KPB!N31</f>
        <v>0</v>
      </c>
      <c r="O38" s="209">
        <f>[2]STAFF_KPB!O31</f>
        <v>0</v>
      </c>
    </row>
    <row r="39" spans="1:15" ht="15.75">
      <c r="A39" s="197"/>
      <c r="B39" s="199" t="str">
        <f>'[2]FromCP_FY23-Staffing Sheet'!J9</f>
        <v>Cental - Academic</v>
      </c>
      <c r="C39" s="209"/>
      <c r="D39" s="209"/>
      <c r="E39" s="209"/>
      <c r="F39" s="209"/>
      <c r="G39" s="209"/>
      <c r="H39" s="209">
        <f>[2]STAFF_KPB!H32</f>
        <v>0</v>
      </c>
      <c r="I39" s="209">
        <f>[2]STAFF_KPB!I32</f>
        <v>0</v>
      </c>
      <c r="J39" s="209">
        <f>[2]STAFF_KPB!J32</f>
        <v>0</v>
      </c>
      <c r="K39" s="209">
        <f>[2]STAFF_KPB!K32</f>
        <v>0</v>
      </c>
      <c r="L39" s="209">
        <f>[2]STAFF_KPB!L32</f>
        <v>0</v>
      </c>
      <c r="M39" s="209">
        <f>[2]STAFF_KPB!M32</f>
        <v>0</v>
      </c>
      <c r="N39" s="209">
        <f>[2]STAFF_KPB!N32</f>
        <v>0</v>
      </c>
      <c r="O39" s="209">
        <f>[2]STAFF_KPB!O32</f>
        <v>0</v>
      </c>
    </row>
    <row r="40" spans="1:15" ht="15.75">
      <c r="A40" s="197"/>
      <c r="B40" s="199" t="str">
        <f>'[2]FromCP_FY23-Staffing Sheet'!J10</f>
        <v>Central - Ops</v>
      </c>
      <c r="C40" s="209"/>
      <c r="D40" s="209"/>
      <c r="E40" s="209"/>
      <c r="F40" s="209"/>
      <c r="G40" s="209"/>
      <c r="H40" s="209">
        <f>[2]STAFF_KPB!H33</f>
        <v>0</v>
      </c>
      <c r="I40" s="209">
        <f>[2]STAFF_KPB!I33</f>
        <v>0</v>
      </c>
      <c r="J40" s="209">
        <f>[2]STAFF_KPB!J33</f>
        <v>0</v>
      </c>
      <c r="K40" s="209">
        <f>[2]STAFF_KPB!K33</f>
        <v>0</v>
      </c>
      <c r="L40" s="209">
        <f>[2]STAFF_KPB!L33</f>
        <v>0</v>
      </c>
      <c r="M40" s="209">
        <f>[2]STAFF_KPB!M33</f>
        <v>0</v>
      </c>
      <c r="N40" s="209">
        <f>[2]STAFF_KPB!N33</f>
        <v>0</v>
      </c>
      <c r="O40" s="209">
        <f>[2]STAFF_KPB!O33</f>
        <v>0</v>
      </c>
    </row>
    <row r="41" spans="1:15" ht="15.75">
      <c r="A41" s="197"/>
      <c r="B41" s="199" t="str">
        <f>'[2]FromCP_FY23-Staffing Sheet'!J11</f>
        <v xml:space="preserve">Central - Admin </v>
      </c>
      <c r="C41" s="209"/>
      <c r="D41" s="209"/>
      <c r="E41" s="209"/>
      <c r="F41" s="209"/>
      <c r="G41" s="209"/>
      <c r="H41" s="209">
        <f>[2]STAFF_KPB!H34</f>
        <v>0</v>
      </c>
      <c r="I41" s="209">
        <f>[2]STAFF_KPB!I34</f>
        <v>0</v>
      </c>
      <c r="J41" s="209">
        <f>[2]STAFF_KPB!J34</f>
        <v>0</v>
      </c>
      <c r="K41" s="209">
        <f>[2]STAFF_KPB!K34</f>
        <v>0</v>
      </c>
      <c r="L41" s="209">
        <f>[2]STAFF_KPB!L34</f>
        <v>0</v>
      </c>
      <c r="M41" s="209">
        <f>[2]STAFF_KPB!M34</f>
        <v>0</v>
      </c>
      <c r="N41" s="209">
        <f>[2]STAFF_KPB!N34</f>
        <v>0</v>
      </c>
      <c r="O41" s="209">
        <f>[2]STAFF_KPB!O34</f>
        <v>0</v>
      </c>
    </row>
    <row r="42" spans="1:15" ht="15.75">
      <c r="A42" s="197"/>
      <c r="B42" s="199" t="str">
        <f>'[2]FromCP_FY23-Staffing Sheet'!J12</f>
        <v>Central - Finance</v>
      </c>
      <c r="C42" s="209"/>
      <c r="D42" s="209"/>
      <c r="E42" s="209"/>
      <c r="F42" s="209"/>
      <c r="G42" s="209"/>
      <c r="H42" s="209">
        <f>[2]STAFF_KPB!H35</f>
        <v>0</v>
      </c>
      <c r="I42" s="209">
        <f>[2]STAFF_KPB!I35</f>
        <v>0</v>
      </c>
      <c r="J42" s="209">
        <f>[2]STAFF_KPB!J35</f>
        <v>0</v>
      </c>
      <c r="K42" s="209">
        <f>[2]STAFF_KPB!K35</f>
        <v>0</v>
      </c>
      <c r="L42" s="209">
        <f>[2]STAFF_KPB!L35</f>
        <v>0</v>
      </c>
      <c r="M42" s="209">
        <f>[2]STAFF_KPB!M35</f>
        <v>0</v>
      </c>
      <c r="N42" s="209">
        <f>[2]STAFF_KPB!N35</f>
        <v>0</v>
      </c>
      <c r="O42" s="209">
        <f>[2]STAFF_KPB!O35</f>
        <v>0</v>
      </c>
    </row>
    <row r="43" spans="1:15" ht="15.75">
      <c r="A43" s="197"/>
      <c r="B43" s="199" t="str">
        <f>'[2]FromCP_FY23-Staffing Sheet'!J13</f>
        <v xml:space="preserve">Central - Other Directors </v>
      </c>
      <c r="C43" s="209"/>
      <c r="D43" s="209"/>
      <c r="E43" s="209"/>
      <c r="F43" s="209"/>
      <c r="G43" s="209"/>
      <c r="H43" s="209">
        <f>[2]STAFF_KPB!H36</f>
        <v>0</v>
      </c>
      <c r="I43" s="209">
        <f>[2]STAFF_KPB!I36</f>
        <v>0</v>
      </c>
      <c r="J43" s="209">
        <f>[2]STAFF_KPB!J36</f>
        <v>0</v>
      </c>
      <c r="K43" s="209">
        <f>[2]STAFF_KPB!K36</f>
        <v>0</v>
      </c>
      <c r="L43" s="209">
        <f>[2]STAFF_KPB!L36</f>
        <v>0</v>
      </c>
      <c r="M43" s="209">
        <f>[2]STAFF_KPB!M36</f>
        <v>0</v>
      </c>
      <c r="N43" s="209">
        <f>[2]STAFF_KPB!N36</f>
        <v>0</v>
      </c>
      <c r="O43" s="209">
        <f>[2]STAFF_KPB!O36</f>
        <v>0</v>
      </c>
    </row>
    <row r="44" spans="1:15" ht="15.75">
      <c r="A44" s="197"/>
      <c r="B44" s="199"/>
      <c r="C44" s="210"/>
      <c r="D44" s="211"/>
      <c r="E44" s="211"/>
      <c r="F44" s="211"/>
      <c r="G44" s="212"/>
      <c r="H44" s="212"/>
      <c r="I44" s="212"/>
      <c r="J44" s="212"/>
      <c r="K44" s="212"/>
      <c r="L44" s="212"/>
      <c r="M44" s="212"/>
      <c r="N44" s="212"/>
      <c r="O44" s="212"/>
    </row>
    <row r="45" spans="1:15" ht="15.75">
      <c r="A45" s="197"/>
      <c r="B45" s="201" t="s">
        <v>299</v>
      </c>
      <c r="C45" s="213">
        <f t="shared" ref="C45:O45" si="12">SUM(C34:C44)</f>
        <v>0</v>
      </c>
      <c r="D45" s="213">
        <f t="shared" si="12"/>
        <v>0</v>
      </c>
      <c r="E45" s="213">
        <f t="shared" si="12"/>
        <v>0</v>
      </c>
      <c r="F45" s="213">
        <f t="shared" si="12"/>
        <v>0</v>
      </c>
      <c r="G45" s="213">
        <f t="shared" si="12"/>
        <v>0</v>
      </c>
      <c r="H45" s="213">
        <f t="shared" si="12"/>
        <v>3</v>
      </c>
      <c r="I45" s="213">
        <f t="shared" si="12"/>
        <v>12.5</v>
      </c>
      <c r="J45" s="213">
        <f t="shared" si="12"/>
        <v>18</v>
      </c>
      <c r="K45" s="213">
        <f t="shared" si="12"/>
        <v>26.5</v>
      </c>
      <c r="L45" s="213">
        <f t="shared" si="12"/>
        <v>35</v>
      </c>
      <c r="M45" s="213">
        <f t="shared" si="12"/>
        <v>43.5</v>
      </c>
      <c r="N45" s="213">
        <f t="shared" si="12"/>
        <v>51.5</v>
      </c>
      <c r="O45" s="213">
        <f t="shared" si="12"/>
        <v>60</v>
      </c>
    </row>
    <row r="46" spans="1:15" ht="15.75">
      <c r="A46" s="197"/>
      <c r="C46"/>
      <c r="D46"/>
      <c r="E46"/>
      <c r="F46"/>
    </row>
    <row r="47" spans="1:15" ht="15.75">
      <c r="A47" s="197"/>
      <c r="B47" s="214" t="s">
        <v>300</v>
      </c>
      <c r="C47" s="215"/>
      <c r="D47" s="205"/>
      <c r="E47" s="216"/>
      <c r="F47" s="216"/>
      <c r="G47" s="217"/>
      <c r="H47" s="217"/>
      <c r="I47" s="217"/>
      <c r="J47" s="218"/>
      <c r="K47" s="218"/>
      <c r="L47" s="218"/>
      <c r="M47" s="218"/>
      <c r="N47" s="218"/>
      <c r="O47" s="218"/>
    </row>
    <row r="48" spans="1:15" ht="15.75">
      <c r="A48" s="197"/>
      <c r="B48" s="219" t="str">
        <f>CONCATENATE("Students : ",'[2]FromCP_FY23-Staffing Sheet'!J4)</f>
        <v xml:space="preserve">Students : Lead Teacher </v>
      </c>
      <c r="C48" s="220">
        <f>[2]STAFF_KPB!C27</f>
        <v>0</v>
      </c>
      <c r="D48" s="220">
        <f>[2]STAFF_KPB!D27</f>
        <v>0</v>
      </c>
      <c r="E48" s="220">
        <f>[2]STAFF_KPB!E27</f>
        <v>0</v>
      </c>
      <c r="F48" s="220">
        <f>[2]STAFF_KPB!F27</f>
        <v>0</v>
      </c>
      <c r="G48" s="220">
        <f>[2]STAFF_KPB!G27</f>
        <v>0</v>
      </c>
      <c r="H48" s="220">
        <f>[2]STAFF_KPB!H27</f>
        <v>0</v>
      </c>
      <c r="I48" s="220">
        <f>[2]STAFF_KPB!I27</f>
        <v>7</v>
      </c>
      <c r="J48" s="220">
        <f>[2]STAFF_KPB!J27</f>
        <v>13</v>
      </c>
      <c r="K48" s="220">
        <f>[2]STAFF_KPB!K27</f>
        <v>19</v>
      </c>
      <c r="L48" s="220">
        <f>[2]STAFF_KPB!L27</f>
        <v>25.5</v>
      </c>
      <c r="M48" s="220">
        <f>[2]STAFF_KPB!M27</f>
        <v>32</v>
      </c>
      <c r="N48" s="220">
        <f>[2]STAFF_KPB!N27</f>
        <v>38</v>
      </c>
      <c r="O48" s="220">
        <f>[2]STAFF_KPB!O27</f>
        <v>44</v>
      </c>
    </row>
    <row r="49" spans="1:15" ht="15.75">
      <c r="A49" s="197"/>
      <c r="B49" s="219" t="str">
        <f>CONCATENATE("Students : ",'[2]FromCP_FY23-Staffing Sheet'!J5)</f>
        <v>Students : SPED, Specials, Supports</v>
      </c>
      <c r="C49" s="220">
        <f>[2]STAFF_KPB!C28</f>
        <v>0</v>
      </c>
      <c r="D49" s="220">
        <f>[2]STAFF_KPB!D28</f>
        <v>0</v>
      </c>
      <c r="E49" s="220">
        <f>[2]STAFF_KPB!E28</f>
        <v>0</v>
      </c>
      <c r="F49" s="220">
        <f>[2]STAFF_KPB!F28</f>
        <v>0</v>
      </c>
      <c r="G49" s="220">
        <f>[2]STAFF_KPB!G28</f>
        <v>0</v>
      </c>
      <c r="H49" s="220">
        <f>[2]STAFF_KPB!H28</f>
        <v>0</v>
      </c>
      <c r="I49" s="220">
        <f>[2]STAFF_KPB!I28</f>
        <v>1</v>
      </c>
      <c r="J49" s="220">
        <f>[2]STAFF_KPB!J28</f>
        <v>2.5</v>
      </c>
      <c r="K49" s="220">
        <f>[2]STAFF_KPB!K28</f>
        <v>4</v>
      </c>
      <c r="L49" s="220">
        <f>[2]STAFF_KPB!L28</f>
        <v>5</v>
      </c>
      <c r="M49" s="220">
        <f>[2]STAFF_KPB!M28</f>
        <v>6.5</v>
      </c>
      <c r="N49" s="220">
        <f>[2]STAFF_KPB!N28</f>
        <v>7.5</v>
      </c>
      <c r="O49" s="220">
        <f>[2]STAFF_KPB!O28</f>
        <v>9</v>
      </c>
    </row>
    <row r="50" spans="1:15" ht="15.75">
      <c r="A50" s="197"/>
      <c r="B50" s="219" t="str">
        <f>CONCATENATE("Students : ",'[2]FromCP_FY23-Staffing Sheet'!J6)</f>
        <v xml:space="preserve">Students : Principal </v>
      </c>
      <c r="C50" s="220">
        <f>[2]STAFF_KPB!C29</f>
        <v>0</v>
      </c>
      <c r="D50" s="220">
        <f>[2]STAFF_KPB!D29</f>
        <v>0</v>
      </c>
      <c r="E50" s="220">
        <f>[2]STAFF_KPB!E29</f>
        <v>0</v>
      </c>
      <c r="F50" s="220">
        <f>[2]STAFF_KPB!F29</f>
        <v>0</v>
      </c>
      <c r="G50" s="220">
        <f>[2]STAFF_KPB!G29</f>
        <v>0</v>
      </c>
      <c r="H50" s="220">
        <f>[2]STAFF_KPB!H29</f>
        <v>1</v>
      </c>
      <c r="I50" s="220">
        <f>[2]STAFF_KPB!I29</f>
        <v>1</v>
      </c>
      <c r="J50" s="220">
        <f>[2]STAFF_KPB!J29</f>
        <v>1</v>
      </c>
      <c r="K50" s="220">
        <f>[2]STAFF_KPB!K29</f>
        <v>1</v>
      </c>
      <c r="L50" s="220">
        <f>[2]STAFF_KPB!L29</f>
        <v>1</v>
      </c>
      <c r="M50" s="220">
        <f>[2]STAFF_KPB!M29</f>
        <v>1</v>
      </c>
      <c r="N50" s="220">
        <f>[2]STAFF_KPB!N29</f>
        <v>1</v>
      </c>
      <c r="O50" s="220">
        <f>[2]STAFF_KPB!O29</f>
        <v>1</v>
      </c>
    </row>
    <row r="51" spans="1:15" ht="15.75">
      <c r="A51" s="197"/>
      <c r="B51" s="219" t="str">
        <f>CONCATENATE("Students : ",'[2]FromCP_FY23-Staffing Sheet'!J7)</f>
        <v>Students : Operations, Admin, APs</v>
      </c>
      <c r="C51" s="220">
        <f>[2]STAFF_KPB!C30</f>
        <v>0</v>
      </c>
      <c r="D51" s="220">
        <f>[2]STAFF_KPB!D30</f>
        <v>0</v>
      </c>
      <c r="E51" s="220">
        <f>[2]STAFF_KPB!E30</f>
        <v>0</v>
      </c>
      <c r="F51" s="220">
        <f>[2]STAFF_KPB!F30</f>
        <v>0</v>
      </c>
      <c r="G51" s="220">
        <f>[2]STAFF_KPB!G30</f>
        <v>0</v>
      </c>
      <c r="H51" s="220">
        <f>[2]STAFF_KPB!H30</f>
        <v>2</v>
      </c>
      <c r="I51" s="220">
        <f>[2]STAFF_KPB!I30</f>
        <v>3.5</v>
      </c>
      <c r="J51" s="220">
        <f>[2]STAFF_KPB!J30</f>
        <v>1.5</v>
      </c>
      <c r="K51" s="220">
        <f>[2]STAFF_KPB!K30</f>
        <v>2.5</v>
      </c>
      <c r="L51" s="220">
        <f>[2]STAFF_KPB!L30</f>
        <v>3.5</v>
      </c>
      <c r="M51" s="220">
        <f>[2]STAFF_KPB!M30</f>
        <v>4</v>
      </c>
      <c r="N51" s="220">
        <f>[2]STAFF_KPB!N30</f>
        <v>5</v>
      </c>
      <c r="O51" s="220">
        <f>[2]STAFF_KPB!O30</f>
        <v>6</v>
      </c>
    </row>
    <row r="52" spans="1:15" ht="15.75">
      <c r="A52" s="197"/>
      <c r="B52" s="219" t="str">
        <f>CONCATENATE("Students : ",'[2]FromCP_FY23-Staffing Sheet'!J8)</f>
        <v>Students : Central - Exec</v>
      </c>
      <c r="C52" s="220">
        <f>[2]STAFF_KPB!C31</f>
        <v>0</v>
      </c>
      <c r="D52" s="220">
        <f>[2]STAFF_KPB!D31</f>
        <v>0</v>
      </c>
      <c r="E52" s="220">
        <f>[2]STAFF_KPB!E31</f>
        <v>0</v>
      </c>
      <c r="F52" s="220">
        <f>[2]STAFF_KPB!F31</f>
        <v>0</v>
      </c>
      <c r="G52" s="220">
        <f>[2]STAFF_KPB!G31</f>
        <v>0</v>
      </c>
      <c r="H52" s="220">
        <f>[2]STAFF_KPB!H31</f>
        <v>0</v>
      </c>
      <c r="I52" s="220">
        <f>[2]STAFF_KPB!I31</f>
        <v>0</v>
      </c>
      <c r="J52" s="220">
        <f>[2]STAFF_KPB!J31</f>
        <v>0</v>
      </c>
      <c r="K52" s="220">
        <f>[2]STAFF_KPB!K31</f>
        <v>0</v>
      </c>
      <c r="L52" s="220">
        <f>[2]STAFF_KPB!L31</f>
        <v>0</v>
      </c>
      <c r="M52" s="220">
        <f>[2]STAFF_KPB!M31</f>
        <v>0</v>
      </c>
      <c r="N52" s="220">
        <f>[2]STAFF_KPB!N31</f>
        <v>0</v>
      </c>
      <c r="O52" s="220">
        <f>[2]STAFF_KPB!O31</f>
        <v>0</v>
      </c>
    </row>
    <row r="53" spans="1:15" ht="15.75">
      <c r="A53" s="197"/>
      <c r="B53" s="219" t="str">
        <f>CONCATENATE("Students : ",'[2]FromCP_FY23-Staffing Sheet'!J9)</f>
        <v>Students : Cental - Academic</v>
      </c>
      <c r="C53" s="220">
        <f>[2]STAFF_KPB!C32</f>
        <v>0</v>
      </c>
      <c r="D53" s="220">
        <f>[2]STAFF_KPB!D32</f>
        <v>0</v>
      </c>
      <c r="E53" s="220">
        <f>[2]STAFF_KPB!E32</f>
        <v>0</v>
      </c>
      <c r="F53" s="220">
        <f>[2]STAFF_KPB!F32</f>
        <v>0</v>
      </c>
      <c r="G53" s="220">
        <f>[2]STAFF_KPB!G32</f>
        <v>0</v>
      </c>
      <c r="H53" s="220">
        <f>[2]STAFF_KPB!H32</f>
        <v>0</v>
      </c>
      <c r="I53" s="220">
        <f>[2]STAFF_KPB!I32</f>
        <v>0</v>
      </c>
      <c r="J53" s="220">
        <f>[2]STAFF_KPB!J32</f>
        <v>0</v>
      </c>
      <c r="K53" s="220">
        <f>[2]STAFF_KPB!K32</f>
        <v>0</v>
      </c>
      <c r="L53" s="220">
        <f>[2]STAFF_KPB!L32</f>
        <v>0</v>
      </c>
      <c r="M53" s="220">
        <f>[2]STAFF_KPB!M32</f>
        <v>0</v>
      </c>
      <c r="N53" s="220">
        <f>[2]STAFF_KPB!N32</f>
        <v>0</v>
      </c>
      <c r="O53" s="220">
        <f>[2]STAFF_KPB!O32</f>
        <v>0</v>
      </c>
    </row>
    <row r="54" spans="1:15" ht="15.75">
      <c r="A54" s="197"/>
      <c r="B54" s="219" t="str">
        <f>CONCATENATE("Students : ",'[2]FromCP_FY23-Staffing Sheet'!J10)</f>
        <v>Students : Central - Ops</v>
      </c>
      <c r="C54" s="220">
        <f>[2]STAFF_KPB!C33</f>
        <v>0</v>
      </c>
      <c r="D54" s="220">
        <f>[2]STAFF_KPB!D33</f>
        <v>0</v>
      </c>
      <c r="E54" s="220">
        <f>[2]STAFF_KPB!E33</f>
        <v>0</v>
      </c>
      <c r="F54" s="220">
        <f>[2]STAFF_KPB!F33</f>
        <v>0</v>
      </c>
      <c r="G54" s="220">
        <f>[2]STAFF_KPB!G33</f>
        <v>0</v>
      </c>
      <c r="H54" s="220">
        <f>[2]STAFF_KPB!H33</f>
        <v>0</v>
      </c>
      <c r="I54" s="220">
        <f>[2]STAFF_KPB!I33</f>
        <v>0</v>
      </c>
      <c r="J54" s="220">
        <f>[2]STAFF_KPB!J33</f>
        <v>0</v>
      </c>
      <c r="K54" s="220">
        <f>[2]STAFF_KPB!K33</f>
        <v>0</v>
      </c>
      <c r="L54" s="220">
        <f>[2]STAFF_KPB!L33</f>
        <v>0</v>
      </c>
      <c r="M54" s="220">
        <f>[2]STAFF_KPB!M33</f>
        <v>0</v>
      </c>
      <c r="N54" s="220">
        <f>[2]STAFF_KPB!N33</f>
        <v>0</v>
      </c>
      <c r="O54" s="220">
        <f>[2]STAFF_KPB!O33</f>
        <v>0</v>
      </c>
    </row>
    <row r="55" spans="1:15" ht="15.75">
      <c r="A55" s="197"/>
      <c r="B55" s="219" t="str">
        <f>CONCATENATE("Students : ",'[2]FromCP_FY23-Staffing Sheet'!J11)</f>
        <v xml:space="preserve">Students : Central - Admin </v>
      </c>
      <c r="C55" s="220">
        <f>[2]STAFF_KPB!C34</f>
        <v>0</v>
      </c>
      <c r="D55" s="220">
        <f>[2]STAFF_KPB!D34</f>
        <v>0</v>
      </c>
      <c r="E55" s="220">
        <f>[2]STAFF_KPB!E34</f>
        <v>0</v>
      </c>
      <c r="F55" s="220">
        <f>[2]STAFF_KPB!F34</f>
        <v>0</v>
      </c>
      <c r="G55" s="220">
        <f>[2]STAFF_KPB!G34</f>
        <v>0</v>
      </c>
      <c r="H55" s="220">
        <f>[2]STAFF_KPB!H34</f>
        <v>0</v>
      </c>
      <c r="I55" s="220">
        <f>[2]STAFF_KPB!I34</f>
        <v>0</v>
      </c>
      <c r="J55" s="220">
        <f>[2]STAFF_KPB!J34</f>
        <v>0</v>
      </c>
      <c r="K55" s="220">
        <f>[2]STAFF_KPB!K34</f>
        <v>0</v>
      </c>
      <c r="L55" s="220">
        <f>[2]STAFF_KPB!L34</f>
        <v>0</v>
      </c>
      <c r="M55" s="220">
        <f>[2]STAFF_KPB!M34</f>
        <v>0</v>
      </c>
      <c r="N55" s="220">
        <f>[2]STAFF_KPB!N34</f>
        <v>0</v>
      </c>
      <c r="O55" s="220">
        <f>[2]STAFF_KPB!O34</f>
        <v>0</v>
      </c>
    </row>
    <row r="56" spans="1:15" ht="15.75">
      <c r="A56" s="197"/>
      <c r="B56" s="219" t="str">
        <f>CONCATENATE("Students : ",'[2]FromCP_FY23-Staffing Sheet'!J12)</f>
        <v>Students : Central - Finance</v>
      </c>
      <c r="C56" s="220">
        <f>[2]STAFF_KPB!C35</f>
        <v>0</v>
      </c>
      <c r="D56" s="220">
        <f>[2]STAFF_KPB!D35</f>
        <v>0</v>
      </c>
      <c r="E56" s="220">
        <f>[2]STAFF_KPB!E35</f>
        <v>0</v>
      </c>
      <c r="F56" s="220">
        <f>[2]STAFF_KPB!F35</f>
        <v>0</v>
      </c>
      <c r="G56" s="220">
        <f>[2]STAFF_KPB!G35</f>
        <v>0</v>
      </c>
      <c r="H56" s="220">
        <f>[2]STAFF_KPB!H35</f>
        <v>0</v>
      </c>
      <c r="I56" s="220">
        <f>[2]STAFF_KPB!I35</f>
        <v>0</v>
      </c>
      <c r="J56" s="220">
        <f>[2]STAFF_KPB!J35</f>
        <v>0</v>
      </c>
      <c r="K56" s="220">
        <f>[2]STAFF_KPB!K35</f>
        <v>0</v>
      </c>
      <c r="L56" s="220">
        <f>[2]STAFF_KPB!L35</f>
        <v>0</v>
      </c>
      <c r="M56" s="220">
        <f>[2]STAFF_KPB!M35</f>
        <v>0</v>
      </c>
      <c r="N56" s="220">
        <f>[2]STAFF_KPB!N35</f>
        <v>0</v>
      </c>
      <c r="O56" s="220">
        <f>[2]STAFF_KPB!O35</f>
        <v>0</v>
      </c>
    </row>
    <row r="57" spans="1:15" ht="15.75">
      <c r="A57" s="197"/>
      <c r="B57" s="219" t="str">
        <f>CONCATENATE("Students : ",'[2]FromCP_FY23-Staffing Sheet'!J13)</f>
        <v xml:space="preserve">Students : Central - Other Directors </v>
      </c>
      <c r="C57" s="220">
        <f>[2]STAFF_KPB!C36</f>
        <v>0</v>
      </c>
      <c r="D57" s="220">
        <f>[2]STAFF_KPB!D36</f>
        <v>0</v>
      </c>
      <c r="E57" s="220">
        <f>[2]STAFF_KPB!E36</f>
        <v>0</v>
      </c>
      <c r="F57" s="220">
        <f>[2]STAFF_KPB!F36</f>
        <v>0</v>
      </c>
      <c r="G57" s="220">
        <f>[2]STAFF_KPB!G36</f>
        <v>0</v>
      </c>
      <c r="H57" s="220">
        <f>[2]STAFF_KPB!H36</f>
        <v>0</v>
      </c>
      <c r="I57" s="220">
        <f>[2]STAFF_KPB!I36</f>
        <v>0</v>
      </c>
      <c r="J57" s="220">
        <f>[2]STAFF_KPB!J36</f>
        <v>0</v>
      </c>
      <c r="K57" s="220">
        <f>[2]STAFF_KPB!K36</f>
        <v>0</v>
      </c>
      <c r="L57" s="220">
        <f>[2]STAFF_KPB!L36</f>
        <v>0</v>
      </c>
      <c r="M57" s="220">
        <f>[2]STAFF_KPB!M36</f>
        <v>0</v>
      </c>
      <c r="N57" s="220">
        <f>[2]STAFF_KPB!N36</f>
        <v>0</v>
      </c>
      <c r="O57" s="220">
        <f>[2]STAFF_KPB!O36</f>
        <v>0</v>
      </c>
    </row>
    <row r="58" spans="1:15" ht="15.75">
      <c r="A58" s="197"/>
      <c r="B58" s="219"/>
      <c r="C58" s="221"/>
      <c r="D58" s="216"/>
      <c r="E58" s="216"/>
      <c r="F58" s="216"/>
      <c r="G58" s="222"/>
      <c r="H58" s="222"/>
      <c r="I58" s="222"/>
      <c r="J58" s="223"/>
      <c r="K58" s="223"/>
      <c r="L58" s="223"/>
      <c r="M58" s="223"/>
      <c r="N58" s="223"/>
      <c r="O58" s="223"/>
    </row>
    <row r="59" spans="1:15" ht="15.75">
      <c r="A59" s="197"/>
      <c r="B59" s="224" t="s">
        <v>301</v>
      </c>
      <c r="C59" s="225">
        <f t="shared" ref="C59:O59" si="13">IFERROR(C$31/C$45,0)</f>
        <v>0</v>
      </c>
      <c r="D59" s="225">
        <f t="shared" si="13"/>
        <v>0</v>
      </c>
      <c r="E59" s="225">
        <f t="shared" si="13"/>
        <v>0</v>
      </c>
      <c r="F59" s="225">
        <f t="shared" si="13"/>
        <v>0</v>
      </c>
      <c r="G59" s="225">
        <f t="shared" si="13"/>
        <v>0</v>
      </c>
      <c r="H59" s="225">
        <f t="shared" si="13"/>
        <v>0</v>
      </c>
      <c r="I59" s="225">
        <f t="shared" si="13"/>
        <v>8.4</v>
      </c>
      <c r="J59" s="225">
        <f t="shared" si="13"/>
        <v>11.5</v>
      </c>
      <c r="K59" s="225">
        <f t="shared" si="13"/>
        <v>11.547169811320755</v>
      </c>
      <c r="L59" s="225">
        <f t="shared" si="13"/>
        <v>11.685714285714285</v>
      </c>
      <c r="M59" s="225">
        <f t="shared" si="13"/>
        <v>11.701149425287356</v>
      </c>
      <c r="N59" s="225">
        <f t="shared" si="13"/>
        <v>11.766990291262136</v>
      </c>
      <c r="O59" s="225">
        <f t="shared" si="13"/>
        <v>11.666666666666666</v>
      </c>
    </row>
    <row r="60" spans="1:15" ht="15.75">
      <c r="A60" s="197"/>
      <c r="B60" s="219" t="s">
        <v>302</v>
      </c>
      <c r="C60" s="221">
        <f t="shared" ref="C60:O60" si="14">IFERROR(C94/C34,0)</f>
        <v>0</v>
      </c>
      <c r="D60" s="221">
        <f t="shared" si="14"/>
        <v>0</v>
      </c>
      <c r="E60" s="221">
        <f t="shared" si="14"/>
        <v>0</v>
      </c>
      <c r="F60" s="221">
        <f t="shared" si="14"/>
        <v>0</v>
      </c>
      <c r="G60" s="221">
        <f t="shared" si="14"/>
        <v>0</v>
      </c>
      <c r="H60" s="221">
        <f t="shared" si="14"/>
        <v>0</v>
      </c>
      <c r="I60" s="221">
        <f t="shared" si="14"/>
        <v>56856.06080322581</v>
      </c>
      <c r="J60" s="221">
        <f t="shared" si="14"/>
        <v>58561.742627322586</v>
      </c>
      <c r="K60" s="221">
        <f t="shared" si="14"/>
        <v>60318.594906142265</v>
      </c>
      <c r="L60" s="221">
        <f t="shared" si="14"/>
        <v>62128.152753326533</v>
      </c>
      <c r="M60" s="221">
        <f t="shared" si="14"/>
        <v>63991.997335926331</v>
      </c>
      <c r="N60" s="221">
        <f t="shared" si="14"/>
        <v>65911.75725600413</v>
      </c>
      <c r="O60" s="221">
        <f t="shared" si="14"/>
        <v>67889.109973684259</v>
      </c>
    </row>
    <row r="62" spans="1:15" ht="15.75">
      <c r="A62" s="197"/>
      <c r="B62" s="197"/>
      <c r="C62" s="226"/>
      <c r="D62" s="205"/>
      <c r="E62" s="216"/>
      <c r="F62" s="216"/>
      <c r="G62" s="217"/>
      <c r="H62" s="217"/>
      <c r="I62" s="217"/>
      <c r="J62" s="218"/>
      <c r="K62" s="218"/>
      <c r="L62" s="218"/>
      <c r="M62" s="218"/>
      <c r="N62" s="218"/>
      <c r="O62" s="218"/>
    </row>
    <row r="63" spans="1:15" ht="15.75">
      <c r="A63" s="227" t="s">
        <v>303</v>
      </c>
      <c r="B63" s="197"/>
      <c r="C63" s="226"/>
      <c r="D63" s="216"/>
      <c r="E63" s="216"/>
      <c r="F63" s="216"/>
      <c r="G63" s="217"/>
      <c r="H63" s="217"/>
      <c r="I63" s="217"/>
      <c r="J63" s="218"/>
      <c r="K63" s="218"/>
      <c r="L63" s="218"/>
      <c r="M63" s="218"/>
      <c r="N63" s="218"/>
      <c r="O63" s="218"/>
    </row>
    <row r="64" spans="1:15" ht="15.75">
      <c r="A64" s="197"/>
      <c r="B64" s="199" t="s">
        <v>304</v>
      </c>
      <c r="C64" s="228">
        <v>0</v>
      </c>
      <c r="D64" s="228">
        <v>0</v>
      </c>
      <c r="E64" s="228">
        <v>0</v>
      </c>
      <c r="F64" s="228">
        <v>0</v>
      </c>
      <c r="G64" s="228">
        <v>0</v>
      </c>
      <c r="H64" s="228">
        <f t="shared" ref="H64:O68" si="15">G64</f>
        <v>0</v>
      </c>
      <c r="I64" s="627">
        <f>(1500000+1500000)/5</f>
        <v>600000</v>
      </c>
      <c r="J64" s="627">
        <f t="shared" ref="J64:M64" si="16">(1500000+1500000)/5</f>
        <v>600000</v>
      </c>
      <c r="K64" s="627">
        <f t="shared" si="16"/>
        <v>600000</v>
      </c>
      <c r="L64" s="627">
        <f t="shared" si="16"/>
        <v>600000</v>
      </c>
      <c r="M64" s="627">
        <f t="shared" si="16"/>
        <v>600000</v>
      </c>
      <c r="N64" s="228">
        <v>0</v>
      </c>
      <c r="O64" s="228">
        <v>0</v>
      </c>
    </row>
    <row r="65" spans="1:16" ht="15.75">
      <c r="A65" s="197"/>
      <c r="B65" s="199" t="s">
        <v>305</v>
      </c>
      <c r="C65" s="228">
        <v>0</v>
      </c>
      <c r="D65" s="228">
        <v>0</v>
      </c>
      <c r="E65" s="228">
        <v>0</v>
      </c>
      <c r="F65" s="228">
        <v>0</v>
      </c>
      <c r="G65" s="228">
        <v>0</v>
      </c>
      <c r="H65" s="228">
        <f t="shared" si="15"/>
        <v>0</v>
      </c>
      <c r="I65" s="627">
        <f>(500000)/3</f>
        <v>166666.66666666666</v>
      </c>
      <c r="J65" s="627">
        <f t="shared" ref="J65:K65" si="17">(500000)/3</f>
        <v>166666.66666666666</v>
      </c>
      <c r="K65" s="627">
        <f t="shared" si="17"/>
        <v>166666.66666666666</v>
      </c>
      <c r="L65" s="228">
        <v>0</v>
      </c>
      <c r="M65" s="228">
        <f t="shared" si="15"/>
        <v>0</v>
      </c>
      <c r="N65" s="228">
        <f t="shared" si="15"/>
        <v>0</v>
      </c>
      <c r="O65" s="228">
        <f t="shared" si="15"/>
        <v>0</v>
      </c>
    </row>
    <row r="66" spans="1:16" ht="15.75">
      <c r="B66" s="199" t="s">
        <v>306</v>
      </c>
      <c r="C66" s="228">
        <v>0</v>
      </c>
      <c r="D66" s="228">
        <v>0</v>
      </c>
      <c r="E66" s="228">
        <v>0</v>
      </c>
      <c r="F66" s="228">
        <v>0</v>
      </c>
      <c r="G66" s="228">
        <v>0</v>
      </c>
      <c r="H66" s="228">
        <f t="shared" si="15"/>
        <v>0</v>
      </c>
      <c r="I66" s="228">
        <f t="shared" si="15"/>
        <v>0</v>
      </c>
      <c r="J66" s="228">
        <f t="shared" si="15"/>
        <v>0</v>
      </c>
      <c r="K66" s="228">
        <f t="shared" si="15"/>
        <v>0</v>
      </c>
      <c r="L66" s="228">
        <f t="shared" si="15"/>
        <v>0</v>
      </c>
      <c r="M66" s="228">
        <f t="shared" si="15"/>
        <v>0</v>
      </c>
      <c r="N66" s="228">
        <f t="shared" si="15"/>
        <v>0</v>
      </c>
      <c r="O66" s="228">
        <f t="shared" si="15"/>
        <v>0</v>
      </c>
    </row>
    <row r="67" spans="1:16" ht="15.75">
      <c r="B67" s="199" t="s">
        <v>307</v>
      </c>
      <c r="C67" s="228">
        <v>0</v>
      </c>
      <c r="D67" s="228">
        <v>0</v>
      </c>
      <c r="E67" s="228">
        <v>0</v>
      </c>
      <c r="F67" s="228">
        <v>0</v>
      </c>
      <c r="G67" s="228">
        <v>0</v>
      </c>
      <c r="H67" s="228">
        <v>0</v>
      </c>
      <c r="I67" s="228">
        <v>0</v>
      </c>
      <c r="J67" s="228">
        <v>0</v>
      </c>
      <c r="K67" s="228">
        <v>0</v>
      </c>
      <c r="L67" s="228">
        <v>0</v>
      </c>
      <c r="M67" s="228">
        <v>0</v>
      </c>
      <c r="N67" s="228">
        <v>0</v>
      </c>
      <c r="O67" s="228">
        <v>0</v>
      </c>
    </row>
    <row r="68" spans="1:16" ht="15.75">
      <c r="A68" s="229"/>
      <c r="B68" s="199" t="s">
        <v>308</v>
      </c>
      <c r="C68" s="230">
        <v>0</v>
      </c>
      <c r="D68" s="230">
        <v>0</v>
      </c>
      <c r="E68" s="230">
        <v>0</v>
      </c>
      <c r="F68" s="230">
        <v>0</v>
      </c>
      <c r="G68" s="230">
        <v>0</v>
      </c>
      <c r="H68" s="230">
        <f t="shared" si="15"/>
        <v>0</v>
      </c>
      <c r="I68" s="230">
        <v>0</v>
      </c>
      <c r="J68" s="230">
        <v>0</v>
      </c>
      <c r="K68" s="230">
        <v>0</v>
      </c>
      <c r="L68" s="230">
        <v>0</v>
      </c>
      <c r="M68" s="230">
        <v>0</v>
      </c>
      <c r="N68" s="230">
        <v>0</v>
      </c>
      <c r="O68" s="230">
        <v>0</v>
      </c>
    </row>
    <row r="69" spans="1:16" ht="15.75">
      <c r="A69" s="229"/>
      <c r="B69" s="199" t="s">
        <v>309</v>
      </c>
      <c r="C69" s="211">
        <f>INPUTS!C19*C31</f>
        <v>0</v>
      </c>
      <c r="D69" s="216">
        <f>INPUTS!D19*D31</f>
        <v>0</v>
      </c>
      <c r="E69" s="216">
        <f>INPUTS!E19*E31</f>
        <v>0</v>
      </c>
      <c r="F69" s="216">
        <f>INPUTS!F19*F31</f>
        <v>0</v>
      </c>
      <c r="G69" s="216">
        <f>INPUTS!G19*G31</f>
        <v>0</v>
      </c>
      <c r="H69" s="216">
        <f>INPUTS!H19*H31</f>
        <v>0</v>
      </c>
      <c r="I69" s="216">
        <f>INPUTS!I17*SUM(I24:I26)+INPUTS!I18*SUM(I27:I30)</f>
        <v>1173322.7965001753</v>
      </c>
      <c r="J69" s="216">
        <f>INPUTS!J17*SUM(J24:J26)+INPUTS!J18*SUM(J27:J30)</f>
        <v>2370950.1366421399</v>
      </c>
      <c r="K69" s="216">
        <f>INPUTS!K17*SUM(K24:K26)+INPUTS!K18*SUM(K27:K30)</f>
        <v>3592504.8809555899</v>
      </c>
      <c r="L69" s="216">
        <f>INPUTS!L17*SUM(L24:L26)+INPUTS!L18*SUM(L27:L30)</f>
        <v>5238538.350825212</v>
      </c>
      <c r="M69" s="216">
        <f>INPUTS!M17*SUM(M24:M26)+INPUTS!M18*SUM(M27:M30)</f>
        <v>6918168.1873064013</v>
      </c>
      <c r="N69" s="216">
        <f>INPUTS!N17*SUM(N24:N26)+INPUTS!N18*SUM(N27:N30)</f>
        <v>8630883.9380277842</v>
      </c>
      <c r="O69" s="216">
        <f>INPUTS!O17*SUM(O24:O26)+INPUTS!O18*SUM(O27:O30)</f>
        <v>10376099.592775704</v>
      </c>
      <c r="P69" s="231"/>
    </row>
    <row r="70" spans="1:16" ht="15.75">
      <c r="A70" s="229"/>
      <c r="B70" s="199" t="s">
        <v>310</v>
      </c>
      <c r="C70" s="211">
        <f>INPUTS!C17*C31</f>
        <v>0</v>
      </c>
      <c r="D70" s="216">
        <f>INPUTS!D17*D31</f>
        <v>0</v>
      </c>
      <c r="E70" s="216">
        <f>INPUTS!E17*E31</f>
        <v>0</v>
      </c>
      <c r="F70" s="216">
        <f>INPUTS!F17*F31</f>
        <v>0</v>
      </c>
      <c r="G70" s="216">
        <f>INPUTS!G17*G31</f>
        <v>0</v>
      </c>
      <c r="H70" s="216">
        <f>INPUTS!H17*SUM(H24:H26)+INPUTS!H18*SUM(H27:H30)</f>
        <v>0</v>
      </c>
      <c r="I70" s="216">
        <f>INPUTS!I19*I31</f>
        <v>25089.239401496256</v>
      </c>
      <c r="J70" s="216">
        <f>INPUTS!J19*J31</f>
        <v>50698.184476309216</v>
      </c>
      <c r="K70" s="216">
        <f>INPUTS!K19*K31</f>
        <v>76818.77082605983</v>
      </c>
      <c r="L70" s="216">
        <f>INPUTS!L19*L31</f>
        <v>105242.97124037558</v>
      </c>
      <c r="M70" s="216">
        <f>INPUTS!M19*M31</f>
        <v>134249.11777600233</v>
      </c>
      <c r="N70" s="216">
        <f>INPUTS!N19*N31</f>
        <v>163828.76130955564</v>
      </c>
      <c r="O70" s="216">
        <f>INPUTS!O19*O31</f>
        <v>193972.17201255145</v>
      </c>
      <c r="P70" s="231"/>
    </row>
    <row r="71" spans="1:16" ht="15.75">
      <c r="A71" s="229"/>
      <c r="B71" s="199" t="s">
        <v>311</v>
      </c>
      <c r="C71" s="211">
        <f>INPUTS!C20*C31</f>
        <v>0</v>
      </c>
      <c r="D71" s="216">
        <f>INPUTS!D20*D31</f>
        <v>0</v>
      </c>
      <c r="E71" s="216">
        <f>INPUTS!E20*E31</f>
        <v>0</v>
      </c>
      <c r="F71" s="216">
        <f>INPUTS!F20*F31</f>
        <v>0</v>
      </c>
      <c r="G71" s="216">
        <f>INPUTS!G20*G31</f>
        <v>0</v>
      </c>
      <c r="H71" s="216">
        <f>INPUTS!H20*H31</f>
        <v>0</v>
      </c>
      <c r="I71" s="216">
        <f>INPUTS!I20*I31</f>
        <v>0</v>
      </c>
      <c r="J71" s="216">
        <f>INPUTS!J20*J31</f>
        <v>0</v>
      </c>
      <c r="K71" s="216">
        <f>INPUTS!K20*K31</f>
        <v>0</v>
      </c>
      <c r="L71" s="216">
        <f>INPUTS!L20*L31</f>
        <v>0</v>
      </c>
      <c r="M71" s="216">
        <f>INPUTS!M20*M31</f>
        <v>0</v>
      </c>
      <c r="N71" s="216">
        <f>INPUTS!N20*N31</f>
        <v>0</v>
      </c>
      <c r="O71" s="216">
        <f>INPUTS!O20*O31</f>
        <v>0</v>
      </c>
      <c r="P71" s="231"/>
    </row>
    <row r="72" spans="1:16" ht="15.75">
      <c r="A72" s="229"/>
      <c r="B72" s="199" t="s">
        <v>312</v>
      </c>
      <c r="C72" s="211">
        <f>INPUTS!C24*C31</f>
        <v>0</v>
      </c>
      <c r="D72" s="216">
        <f>INPUTS!D24*D31</f>
        <v>0</v>
      </c>
      <c r="E72" s="216">
        <f>INPUTS!E24*E31</f>
        <v>0</v>
      </c>
      <c r="F72" s="216">
        <f>INPUTS!F24*F31</f>
        <v>0</v>
      </c>
      <c r="G72" s="216">
        <f>INPUTS!G24*G31</f>
        <v>0</v>
      </c>
      <c r="H72" s="216">
        <f>INPUTS!H24*H31</f>
        <v>0</v>
      </c>
      <c r="I72" s="216">
        <f>INPUTS!I24*I31</f>
        <v>59854.207251480664</v>
      </c>
      <c r="J72" s="216">
        <f>INPUTS!J24*J31</f>
        <v>120948.25165317056</v>
      </c>
      <c r="K72" s="216">
        <f>INPUTS!K24*K31</f>
        <v>183262.89435273886</v>
      </c>
      <c r="L72" s="216">
        <f>INPUTS!L24*L31</f>
        <v>251073.15975499005</v>
      </c>
      <c r="M72" s="216">
        <f>INPUTS!M24*M31</f>
        <v>320271.74638917402</v>
      </c>
      <c r="N72" s="216">
        <f>INPUTS!N24*N31</f>
        <v>390838.49758278078</v>
      </c>
      <c r="O72" s="216">
        <f>INPUTS!O24*O31</f>
        <v>462750.20134594914</v>
      </c>
      <c r="P72" s="231"/>
    </row>
    <row r="73" spans="1:16" ht="15.75">
      <c r="A73" s="229"/>
      <c r="B73" s="199" t="s">
        <v>313</v>
      </c>
      <c r="C73" s="211">
        <f>INPUTS!C25*C31</f>
        <v>0</v>
      </c>
      <c r="D73" s="216">
        <f>INPUTS!D25*D31</f>
        <v>0</v>
      </c>
      <c r="E73" s="216">
        <f>INPUTS!E25*E31</f>
        <v>0</v>
      </c>
      <c r="F73" s="216">
        <f>INPUTS!F25*F31</f>
        <v>0</v>
      </c>
      <c r="G73" s="216">
        <f>INPUTS!G25*G31</f>
        <v>0</v>
      </c>
      <c r="H73" s="216">
        <f>INPUTS!H25*H31</f>
        <v>0</v>
      </c>
      <c r="I73" s="216">
        <f>INPUTS!I25*I31</f>
        <v>30152.118615102863</v>
      </c>
      <c r="J73" s="216">
        <f>INPUTS!J25*J31</f>
        <v>60928.81683009</v>
      </c>
      <c r="K73" s="216">
        <f>INPUTS!K25*K31</f>
        <v>92320.402892549391</v>
      </c>
      <c r="L73" s="216">
        <f>INPUTS!L25*L31</f>
        <v>126480.46046610789</v>
      </c>
      <c r="M73" s="216">
        <f>INPUTS!M25*M31</f>
        <v>161339.89788919347</v>
      </c>
      <c r="N73" s="216">
        <f>INPUTS!N25*N31</f>
        <v>196888.56104886546</v>
      </c>
      <c r="O73" s="216">
        <f>INPUTS!O25*O31</f>
        <v>233114.75668739431</v>
      </c>
      <c r="P73" s="231"/>
    </row>
    <row r="74" spans="1:16" ht="15.75">
      <c r="A74" s="229"/>
      <c r="B74" s="199" t="s">
        <v>314</v>
      </c>
      <c r="C74" s="211">
        <f>INPUTS!C26*C31</f>
        <v>0</v>
      </c>
      <c r="D74" s="216">
        <f>INPUTS!D26*D31</f>
        <v>0</v>
      </c>
      <c r="E74" s="216">
        <f>INPUTS!E26*E31</f>
        <v>0</v>
      </c>
      <c r="F74" s="216">
        <f>INPUTS!F26*F31</f>
        <v>0</v>
      </c>
      <c r="G74" s="216">
        <f>INPUTS!G26*G31</f>
        <v>0</v>
      </c>
      <c r="H74" s="216">
        <f>INPUTS!H26*H31</f>
        <v>0</v>
      </c>
      <c r="I74" s="216">
        <f>INPUTS!I26*I31</f>
        <v>0</v>
      </c>
      <c r="J74" s="216">
        <f>INPUTS!J26*J31</f>
        <v>0</v>
      </c>
      <c r="K74" s="216">
        <f>INPUTS!K26*K31</f>
        <v>0</v>
      </c>
      <c r="L74" s="216">
        <f>INPUTS!L26*L31</f>
        <v>0</v>
      </c>
      <c r="M74" s="216">
        <f>INPUTS!M26*M31</f>
        <v>0</v>
      </c>
      <c r="N74" s="216">
        <f>INPUTS!N26*N31</f>
        <v>0</v>
      </c>
      <c r="O74" s="216">
        <f>INPUTS!O26*O31</f>
        <v>0</v>
      </c>
      <c r="P74" s="231"/>
    </row>
    <row r="75" spans="1:16" ht="15.75">
      <c r="A75" s="229"/>
      <c r="B75" s="199" t="s">
        <v>315</v>
      </c>
      <c r="C75" s="211">
        <f>INPUTS!C33*C31</f>
        <v>0</v>
      </c>
      <c r="D75" s="216">
        <f>INPUTS!D33*D31</f>
        <v>0</v>
      </c>
      <c r="E75" s="216">
        <f>INPUTS!E33*E31</f>
        <v>0</v>
      </c>
      <c r="F75" s="216">
        <f>INPUTS!F33*F31</f>
        <v>0</v>
      </c>
      <c r="G75" s="216">
        <f>INPUTS!G33*G31</f>
        <v>0</v>
      </c>
      <c r="H75" s="216">
        <f>INPUTS!H33*H31</f>
        <v>0</v>
      </c>
      <c r="I75" s="216">
        <f>INPUTS!I33*I31</f>
        <v>24524.506066084785</v>
      </c>
      <c r="J75" s="216">
        <f>INPUTS!J33*J31</f>
        <v>49557.019757824179</v>
      </c>
      <c r="K75" s="216">
        <f>INPUTS!K33*K31</f>
        <v>75089.658198268371</v>
      </c>
      <c r="L75" s="216">
        <f>INPUTS!L33*L31</f>
        <v>102874.05868682697</v>
      </c>
      <c r="M75" s="216">
        <f>INPUTS!M33*M31</f>
        <v>131227.30627966943</v>
      </c>
      <c r="N75" s="216">
        <f>INPUTS!N33*N31</f>
        <v>160141.14203461036</v>
      </c>
      <c r="O75" s="216">
        <f>INPUTS!O33*O31</f>
        <v>189606.05513173749</v>
      </c>
      <c r="P75" s="231"/>
    </row>
    <row r="76" spans="1:16" ht="15.75">
      <c r="A76" s="229"/>
      <c r="B76" s="199" t="s">
        <v>316</v>
      </c>
      <c r="C76" s="211" t="e">
        <f>INPUTS!C29*C31</f>
        <v>#REF!</v>
      </c>
      <c r="D76" s="216" t="e">
        <f>INPUTS!D29*D31</f>
        <v>#REF!</v>
      </c>
      <c r="E76" s="216" t="e">
        <f>INPUTS!E29*E31</f>
        <v>#REF!</v>
      </c>
      <c r="F76" s="216">
        <f>INPUTS!F29*F31</f>
        <v>0</v>
      </c>
      <c r="G76" s="216">
        <f>INPUTS!G29*G31</f>
        <v>0</v>
      </c>
      <c r="H76" s="216">
        <f>INPUTS!H29*H31</f>
        <v>0</v>
      </c>
      <c r="I76" s="216">
        <f>INPUTS!I29*I31</f>
        <v>24759.117830423937</v>
      </c>
      <c r="J76" s="216">
        <f>INPUTS!J29*J31</f>
        <v>50031.103101620938</v>
      </c>
      <c r="K76" s="216">
        <f>INPUTS!K29*K31</f>
        <v>75807.997525716928</v>
      </c>
      <c r="L76" s="216">
        <f>INPUTS!L29*L31</f>
        <v>103858.19530300223</v>
      </c>
      <c r="M76" s="216">
        <f>INPUTS!M29*M31</f>
        <v>132482.68201579177</v>
      </c>
      <c r="N76" s="216">
        <f>INPUTS!N29*N31</f>
        <v>161673.11971337729</v>
      </c>
      <c r="O76" s="216">
        <f>INPUTS!O29*O31</f>
        <v>191419.90659133365</v>
      </c>
      <c r="P76" s="231"/>
    </row>
    <row r="77" spans="1:16" ht="15.75">
      <c r="A77" s="229"/>
      <c r="B77" s="199" t="s">
        <v>317</v>
      </c>
      <c r="C77" s="211">
        <f>INPUTS!C34*C31</f>
        <v>0</v>
      </c>
      <c r="D77" s="216">
        <f>INPUTS!D34*D31</f>
        <v>0</v>
      </c>
      <c r="E77" s="216">
        <f>INPUTS!E34*E31</f>
        <v>0</v>
      </c>
      <c r="F77" s="216">
        <f>INPUTS!F34*F31</f>
        <v>0</v>
      </c>
      <c r="G77" s="216">
        <f>INPUTS!G34*G31</f>
        <v>0</v>
      </c>
      <c r="H77" s="216">
        <f>INPUTS!H34*H31</f>
        <v>0</v>
      </c>
      <c r="I77" s="216">
        <f>INPUTS!I34*I31</f>
        <v>2672.8843204488771</v>
      </c>
      <c r="J77" s="216">
        <f>INPUTS!J34*J31</f>
        <v>5401.1355303927667</v>
      </c>
      <c r="K77" s="216">
        <f>INPUTS!K34*K31</f>
        <v>8183.8944884429529</v>
      </c>
      <c r="L77" s="216">
        <f>INPUTS!L34*L31</f>
        <v>11212.069172932996</v>
      </c>
      <c r="M77" s="216">
        <f>INPUTS!M34*M31</f>
        <v>14302.241538504808</v>
      </c>
      <c r="N77" s="216">
        <f>INPUTS!N34*N31</f>
        <v>17453.511457057484</v>
      </c>
      <c r="O77" s="216">
        <f>INPUTS!O34*O31</f>
        <v>20664.842360459974</v>
      </c>
      <c r="P77" s="231"/>
    </row>
    <row r="78" spans="1:16" ht="15.75">
      <c r="A78" s="229"/>
      <c r="B78" s="199" t="str">
        <f>INPUTS!$B$36</f>
        <v>Title V (CSP - Total) -- for Knox Prep</v>
      </c>
      <c r="C78" s="211">
        <f>INPUTS!C35*C31</f>
        <v>0</v>
      </c>
      <c r="D78" s="216">
        <f>INPUTS!D35*D31</f>
        <v>0</v>
      </c>
      <c r="E78" s="216">
        <f>INPUTS!E35*E31</f>
        <v>0</v>
      </c>
      <c r="F78" s="216">
        <f>INPUTS!F35*F31</f>
        <v>0</v>
      </c>
      <c r="G78" s="216">
        <f>INPUTS!G35*G31</f>
        <v>0</v>
      </c>
      <c r="H78" s="628">
        <f>INPUTS!I36</f>
        <v>400000</v>
      </c>
      <c r="I78" s="628">
        <f>INPUTS!J36</f>
        <v>400000</v>
      </c>
      <c r="J78" s="628">
        <f>INPUTS!K36</f>
        <v>400000</v>
      </c>
      <c r="K78" s="216">
        <v>0</v>
      </c>
      <c r="L78" s="216">
        <f>INPUTS!L35*L31</f>
        <v>0</v>
      </c>
      <c r="M78" s="216">
        <f>INPUTS!M35*M31</f>
        <v>0</v>
      </c>
      <c r="N78" s="216">
        <f>INPUTS!N35*N31</f>
        <v>0</v>
      </c>
      <c r="O78" s="216">
        <f>INPUTS!O35*O31</f>
        <v>0</v>
      </c>
    </row>
    <row r="79" spans="1:16" ht="15.75">
      <c r="A79" s="229"/>
      <c r="B79" s="199" t="s">
        <v>318</v>
      </c>
      <c r="C79" s="211">
        <f>INPUTS!C38*C31</f>
        <v>0</v>
      </c>
      <c r="D79" s="216">
        <f>INPUTS!D38*D31</f>
        <v>0</v>
      </c>
      <c r="E79" s="216">
        <f>INPUTS!E38*E31</f>
        <v>0</v>
      </c>
      <c r="F79" s="216">
        <f>INPUTS!F38*F31</f>
        <v>0</v>
      </c>
      <c r="G79" s="216">
        <f>INPUTS!G38*G31</f>
        <v>0</v>
      </c>
      <c r="H79" s="216">
        <f>INPUTS!H38*H31</f>
        <v>0</v>
      </c>
      <c r="I79" s="216">
        <f>INPUTS!I38*I31</f>
        <v>0</v>
      </c>
      <c r="J79" s="216">
        <f>INPUTS!J38*J31</f>
        <v>0</v>
      </c>
      <c r="K79" s="216">
        <f>INPUTS!K38*K31</f>
        <v>0</v>
      </c>
      <c r="L79" s="216">
        <f>INPUTS!L38*L31</f>
        <v>0</v>
      </c>
      <c r="M79" s="216">
        <f>INPUTS!M38*M31</f>
        <v>0</v>
      </c>
      <c r="N79" s="216">
        <f>INPUTS!N38*N31</f>
        <v>0</v>
      </c>
      <c r="O79" s="216">
        <f>INPUTS!O38*O31</f>
        <v>0</v>
      </c>
    </row>
    <row r="80" spans="1:16" ht="15.75">
      <c r="A80" s="229"/>
      <c r="B80" s="199" t="s">
        <v>319</v>
      </c>
      <c r="C80" s="211">
        <f>INPUTS!C39*C31</f>
        <v>0</v>
      </c>
      <c r="D80" s="216">
        <f>INPUTS!D39*D31</f>
        <v>0</v>
      </c>
      <c r="E80" s="216">
        <f>INPUTS!E39*E31</f>
        <v>0</v>
      </c>
      <c r="F80" s="216">
        <f>INPUTS!F39*F31</f>
        <v>0</v>
      </c>
      <c r="G80" s="216">
        <f>INPUTS!G39*G31</f>
        <v>0</v>
      </c>
      <c r="H80" s="216">
        <f>INPUTS!H39*H31</f>
        <v>0</v>
      </c>
      <c r="I80" s="216">
        <f>INPUTS!I39*I31</f>
        <v>0</v>
      </c>
      <c r="J80" s="216">
        <f>INPUTS!J39*J31</f>
        <v>0</v>
      </c>
      <c r="K80" s="216">
        <f>INPUTS!K39*K31</f>
        <v>0</v>
      </c>
      <c r="L80" s="216">
        <f>INPUTS!L39*L31</f>
        <v>0</v>
      </c>
      <c r="M80" s="216">
        <f>INPUTS!M39*M31</f>
        <v>0</v>
      </c>
      <c r="N80" s="216">
        <f>INPUTS!N39*N31</f>
        <v>0</v>
      </c>
      <c r="O80" s="216">
        <f>INPUTS!O39*O31</f>
        <v>0</v>
      </c>
    </row>
    <row r="81" spans="1:15" ht="15.75">
      <c r="A81" s="229"/>
      <c r="B81" s="199" t="s">
        <v>320</v>
      </c>
      <c r="C81" s="211">
        <v>0</v>
      </c>
      <c r="D81" s="216">
        <v>0</v>
      </c>
      <c r="E81" s="216">
        <v>0</v>
      </c>
      <c r="F81" s="216">
        <v>0</v>
      </c>
      <c r="G81" s="216">
        <v>0</v>
      </c>
      <c r="H81" s="216">
        <v>0</v>
      </c>
      <c r="I81" s="228">
        <v>0</v>
      </c>
      <c r="J81" s="211">
        <v>0</v>
      </c>
      <c r="K81" s="211">
        <v>0</v>
      </c>
      <c r="L81" s="211">
        <v>0</v>
      </c>
      <c r="M81" s="211">
        <v>0</v>
      </c>
      <c r="N81" s="211">
        <v>0</v>
      </c>
      <c r="O81" s="211">
        <v>0</v>
      </c>
    </row>
    <row r="82" spans="1:15" ht="15.75">
      <c r="A82" s="229"/>
      <c r="B82" s="199" t="s">
        <v>321</v>
      </c>
      <c r="C82" s="211">
        <v>0</v>
      </c>
      <c r="D82" s="216">
        <v>0</v>
      </c>
      <c r="E82" s="216">
        <v>0</v>
      </c>
      <c r="F82" s="216">
        <v>0</v>
      </c>
      <c r="G82" s="216">
        <v>0</v>
      </c>
      <c r="H82" s="216">
        <v>0</v>
      </c>
      <c r="I82" s="211">
        <v>0</v>
      </c>
      <c r="J82" s="211">
        <v>0</v>
      </c>
      <c r="K82" s="211">
        <v>0</v>
      </c>
      <c r="L82" s="211">
        <v>0</v>
      </c>
      <c r="M82" s="211">
        <v>0</v>
      </c>
      <c r="N82" s="211">
        <v>0</v>
      </c>
      <c r="O82" s="211">
        <v>0</v>
      </c>
    </row>
    <row r="83" spans="1:15" ht="15.75">
      <c r="A83" s="229"/>
      <c r="B83" s="199" t="s">
        <v>322</v>
      </c>
      <c r="C83" s="211">
        <f>C5*INPUTS!C21</f>
        <v>0</v>
      </c>
      <c r="D83" s="211">
        <f>D5*INPUTS!D21</f>
        <v>0</v>
      </c>
      <c r="E83" s="211">
        <f>E5*INPUTS!E21</f>
        <v>0</v>
      </c>
      <c r="F83" s="211">
        <f>F5*INPUTS!F21</f>
        <v>0</v>
      </c>
      <c r="G83" s="211">
        <f>G5*INPUTS!G21</f>
        <v>0</v>
      </c>
      <c r="H83" s="211">
        <f>H5*INPUTS!H21</f>
        <v>0</v>
      </c>
      <c r="I83" s="211">
        <v>0</v>
      </c>
      <c r="J83" s="211">
        <v>0</v>
      </c>
      <c r="K83" s="211">
        <v>0</v>
      </c>
      <c r="L83" s="211">
        <v>0</v>
      </c>
      <c r="M83" s="211">
        <v>0</v>
      </c>
      <c r="N83" s="211">
        <v>0</v>
      </c>
      <c r="O83" s="211">
        <v>0</v>
      </c>
    </row>
    <row r="84" spans="1:15" ht="15.75">
      <c r="A84" s="229"/>
      <c r="B84" s="199" t="s">
        <v>323</v>
      </c>
      <c r="C84" s="211">
        <f>INPUTS!C45*C31</f>
        <v>0</v>
      </c>
      <c r="D84" s="216">
        <f>INPUTS!D45*D31</f>
        <v>0</v>
      </c>
      <c r="E84" s="216">
        <f>INPUTS!E45*E31</f>
        <v>0</v>
      </c>
      <c r="F84" s="216" t="e">
        <f>INPUTS!F45*F31</f>
        <v>#REF!</v>
      </c>
      <c r="G84" s="216">
        <f>INPUTS!G45*G31</f>
        <v>0</v>
      </c>
      <c r="H84" s="216">
        <f>INPUTS!H45*H31</f>
        <v>0</v>
      </c>
      <c r="I84" s="216">
        <f>INPUTS!I45*I31</f>
        <v>0</v>
      </c>
      <c r="J84" s="216">
        <f>INPUTS!J45*J31</f>
        <v>0</v>
      </c>
      <c r="K84" s="216">
        <f>INPUTS!K45*K31</f>
        <v>0</v>
      </c>
      <c r="L84" s="216">
        <f>INPUTS!L45*L31</f>
        <v>0</v>
      </c>
      <c r="M84" s="216">
        <f>INPUTS!M45*M31</f>
        <v>0</v>
      </c>
      <c r="N84" s="216">
        <f>INPUTS!N45*N31</f>
        <v>0</v>
      </c>
      <c r="O84" s="216">
        <f>INPUTS!O45*O31</f>
        <v>0</v>
      </c>
    </row>
    <row r="85" spans="1:15" ht="15.75">
      <c r="A85" s="229"/>
      <c r="B85" s="232" t="s">
        <v>324</v>
      </c>
      <c r="C85" s="232"/>
      <c r="D85" s="232"/>
      <c r="E85" s="232"/>
      <c r="F85" s="232"/>
      <c r="G85" s="233"/>
      <c r="H85" s="233"/>
      <c r="I85" s="233"/>
      <c r="J85" s="233"/>
      <c r="K85" s="233"/>
      <c r="L85" s="233"/>
      <c r="M85" s="233"/>
      <c r="N85" s="233"/>
      <c r="O85" s="233"/>
    </row>
    <row r="86" spans="1:15" ht="15.75">
      <c r="A86" s="229"/>
      <c r="B86" s="201" t="s">
        <v>325</v>
      </c>
      <c r="C86" s="234" t="e">
        <f t="shared" ref="C86:O86" si="18">SUM(C64:C85)</f>
        <v>#REF!</v>
      </c>
      <c r="D86" s="234" t="e">
        <f t="shared" si="18"/>
        <v>#REF!</v>
      </c>
      <c r="E86" s="234" t="e">
        <f t="shared" si="18"/>
        <v>#REF!</v>
      </c>
      <c r="F86" s="234" t="e">
        <f t="shared" si="18"/>
        <v>#REF!</v>
      </c>
      <c r="G86" s="234">
        <f t="shared" si="18"/>
        <v>0</v>
      </c>
      <c r="H86" s="234">
        <f t="shared" si="18"/>
        <v>400000</v>
      </c>
      <c r="I86" s="234">
        <f t="shared" si="18"/>
        <v>2507041.5366518795</v>
      </c>
      <c r="J86" s="234">
        <f t="shared" si="18"/>
        <v>3875181.3146582134</v>
      </c>
      <c r="K86" s="234">
        <f t="shared" si="18"/>
        <v>4870655.1659060325</v>
      </c>
      <c r="L86" s="234">
        <f t="shared" si="18"/>
        <v>6539279.2654494476</v>
      </c>
      <c r="M86" s="234">
        <f t="shared" si="18"/>
        <v>8412041.1791947372</v>
      </c>
      <c r="N86" s="234">
        <f t="shared" si="18"/>
        <v>9721707.5311740302</v>
      </c>
      <c r="O86" s="234">
        <f t="shared" si="18"/>
        <v>11667627.526905127</v>
      </c>
    </row>
    <row r="87" spans="1:15" ht="15.75">
      <c r="A87" s="229"/>
      <c r="B87" s="235" t="s">
        <v>326</v>
      </c>
      <c r="C87" s="236" t="e">
        <f t="shared" ref="C87:O87" si="19">C86-SUM(C83,C79,C64:C68)</f>
        <v>#REF!</v>
      </c>
      <c r="D87" s="236" t="e">
        <f t="shared" si="19"/>
        <v>#REF!</v>
      </c>
      <c r="E87" s="236" t="e">
        <f t="shared" si="19"/>
        <v>#REF!</v>
      </c>
      <c r="F87" s="236" t="e">
        <f t="shared" si="19"/>
        <v>#REF!</v>
      </c>
      <c r="G87" s="236">
        <f t="shared" si="19"/>
        <v>0</v>
      </c>
      <c r="H87" s="236">
        <f t="shared" si="19"/>
        <v>400000</v>
      </c>
      <c r="I87" s="236">
        <f t="shared" si="19"/>
        <v>1740374.869985213</v>
      </c>
      <c r="J87" s="236">
        <f t="shared" si="19"/>
        <v>3108514.6479915469</v>
      </c>
      <c r="K87" s="236">
        <f t="shared" si="19"/>
        <v>4103988.499239366</v>
      </c>
      <c r="L87" s="236">
        <f t="shared" si="19"/>
        <v>5939279.2654494476</v>
      </c>
      <c r="M87" s="236">
        <f t="shared" si="19"/>
        <v>7812041.1791947372</v>
      </c>
      <c r="N87" s="236">
        <f t="shared" si="19"/>
        <v>9721707.5311740302</v>
      </c>
      <c r="O87" s="236">
        <f t="shared" si="19"/>
        <v>11667627.526905127</v>
      </c>
    </row>
    <row r="88" spans="1:15" ht="15.75">
      <c r="A88" s="229"/>
      <c r="B88" s="235" t="s">
        <v>327</v>
      </c>
      <c r="C88" s="236">
        <f t="shared" ref="C88:H88" si="20">IFERROR((C86-SUM(C83,C79,C64:C68))/C31,0)</f>
        <v>0</v>
      </c>
      <c r="D88" s="236">
        <f t="shared" si="20"/>
        <v>0</v>
      </c>
      <c r="E88" s="236">
        <f t="shared" si="20"/>
        <v>0</v>
      </c>
      <c r="F88" s="236">
        <f t="shared" si="20"/>
        <v>0</v>
      </c>
      <c r="G88" s="236">
        <f t="shared" si="20"/>
        <v>0</v>
      </c>
      <c r="H88" s="236">
        <f t="shared" si="20"/>
        <v>0</v>
      </c>
      <c r="I88" s="236">
        <f>IFERROR((I86-SUM(I83,I78,I64:I68))/I31,0)</f>
        <v>12765.474952240122</v>
      </c>
      <c r="J88" s="236">
        <f t="shared" ref="J88:O88" si="21">IFERROR((J86-SUM(J83,J78,J64:J68))/J31,0)</f>
        <v>13084.611826046117</v>
      </c>
      <c r="K88" s="236">
        <f t="shared" si="21"/>
        <v>13411.727121697275</v>
      </c>
      <c r="L88" s="236">
        <f t="shared" si="21"/>
        <v>14521.465196697916</v>
      </c>
      <c r="M88" s="236">
        <f t="shared" si="21"/>
        <v>15347.821570127186</v>
      </c>
      <c r="N88" s="236">
        <f t="shared" si="21"/>
        <v>16042.421668604011</v>
      </c>
      <c r="O88" s="236">
        <f t="shared" si="21"/>
        <v>16668.039324150181</v>
      </c>
    </row>
    <row r="89" spans="1:15" ht="15.75">
      <c r="A89" s="229"/>
      <c r="B89" s="235"/>
      <c r="C89" s="236"/>
      <c r="D89" s="236"/>
      <c r="E89" s="236"/>
      <c r="F89" s="236"/>
      <c r="G89" s="236"/>
      <c r="H89" s="236"/>
      <c r="I89" s="236"/>
      <c r="J89" s="236"/>
      <c r="K89" s="236"/>
      <c r="L89" s="236"/>
      <c r="M89" s="236"/>
      <c r="N89" s="236"/>
      <c r="O89" s="236"/>
    </row>
    <row r="90" spans="1:15" ht="15.75">
      <c r="A90" s="229"/>
      <c r="B90" s="235"/>
      <c r="C90" s="236"/>
      <c r="D90" s="236"/>
      <c r="E90" s="236"/>
      <c r="F90" s="236"/>
      <c r="G90" s="236"/>
      <c r="H90" s="236"/>
      <c r="I90" s="236"/>
      <c r="J90" s="236"/>
      <c r="K90" s="236"/>
      <c r="L90" s="236"/>
      <c r="M90" s="236"/>
      <c r="N90" s="236"/>
      <c r="O90" s="236"/>
    </row>
    <row r="91" spans="1:15" ht="15.75">
      <c r="A91" s="229"/>
      <c r="B91" s="235"/>
      <c r="C91" s="236"/>
      <c r="D91" s="236"/>
      <c r="E91" s="236"/>
      <c r="F91" s="236"/>
      <c r="G91" s="236"/>
      <c r="H91" s="236"/>
      <c r="I91" s="236"/>
      <c r="J91" s="236"/>
      <c r="K91" s="236"/>
      <c r="L91" s="236"/>
      <c r="M91" s="236"/>
      <c r="N91" s="236"/>
      <c r="O91" s="236"/>
    </row>
    <row r="92" spans="1:15">
      <c r="A92" s="237" t="s">
        <v>202</v>
      </c>
    </row>
    <row r="93" spans="1:15" ht="15.75">
      <c r="A93" s="197"/>
      <c r="B93" s="87" t="s">
        <v>328</v>
      </c>
      <c r="C93" s="238">
        <f t="shared" ref="C93:O93" si="22">SUM(C94:C106)</f>
        <v>0</v>
      </c>
      <c r="D93" s="238">
        <f t="shared" si="22"/>
        <v>0</v>
      </c>
      <c r="E93" s="238">
        <f t="shared" si="22"/>
        <v>0</v>
      </c>
      <c r="F93" s="238">
        <f t="shared" si="22"/>
        <v>0</v>
      </c>
      <c r="G93" s="239">
        <f t="shared" si="22"/>
        <v>0</v>
      </c>
      <c r="H93" s="239">
        <f t="shared" si="22"/>
        <v>237582.85229885057</v>
      </c>
      <c r="I93" s="239">
        <f t="shared" si="22"/>
        <v>836819.6553570634</v>
      </c>
      <c r="J93" s="239">
        <f t="shared" si="22"/>
        <v>1190564.7094343489</v>
      </c>
      <c r="K93" s="239">
        <f t="shared" si="22"/>
        <v>1776022.0255102867</v>
      </c>
      <c r="L93" s="239">
        <f t="shared" si="22"/>
        <v>2393676.5292553185</v>
      </c>
      <c r="M93" s="239">
        <f t="shared" si="22"/>
        <v>3041360.2615258014</v>
      </c>
      <c r="N93" s="239">
        <f t="shared" si="22"/>
        <v>3692732.263946509</v>
      </c>
      <c r="O93" s="239">
        <f t="shared" si="22"/>
        <v>4414587.6420971956</v>
      </c>
    </row>
    <row r="94" spans="1:15">
      <c r="B94" s="240" t="str">
        <f>'[2]FromCP_FY23-Staffing Sheet'!J4</f>
        <v xml:space="preserve">Lead Teacher </v>
      </c>
      <c r="C94" s="166">
        <f>[2]STAFF_KPB!C69</f>
        <v>0</v>
      </c>
      <c r="D94" s="166">
        <f>[2]STAFF_KPB!D69</f>
        <v>0</v>
      </c>
      <c r="E94" s="166">
        <f>[2]STAFF_KPB!E69</f>
        <v>0</v>
      </c>
      <c r="F94" s="166">
        <f>[2]STAFF_KPB!F69</f>
        <v>0</v>
      </c>
      <c r="G94" s="166">
        <f>[2]STAFF_KPB!G69</f>
        <v>0</v>
      </c>
      <c r="H94" s="166">
        <f>[2]STAFF_KPB!H69</f>
        <v>0</v>
      </c>
      <c r="I94" s="166">
        <f>[2]STAFF_KPB!I69</f>
        <v>397992.42562258069</v>
      </c>
      <c r="J94" s="166">
        <f>[2]STAFF_KPB!J69</f>
        <v>761302.6541551936</v>
      </c>
      <c r="K94" s="166">
        <f>[2]STAFF_KPB!K69</f>
        <v>1146053.303216703</v>
      </c>
      <c r="L94" s="166">
        <f>[2]STAFF_KPB!L69</f>
        <v>1584267.8952098265</v>
      </c>
      <c r="M94" s="166">
        <f>[2]STAFF_KPB!M69</f>
        <v>2047743.9147496426</v>
      </c>
      <c r="N94" s="166">
        <f>[2]STAFF_KPB!N69</f>
        <v>2504646.7757281568</v>
      </c>
      <c r="O94" s="166">
        <f>[2]STAFF_KPB!O69</f>
        <v>2987120.8388421074</v>
      </c>
    </row>
    <row r="95" spans="1:15">
      <c r="B95" s="240" t="str">
        <f>'[2]FromCP_FY23-Staffing Sheet'!J5</f>
        <v>SPED, Specials, Supports</v>
      </c>
      <c r="C95" s="166">
        <f>[2]STAFF_KPB!C70</f>
        <v>0</v>
      </c>
      <c r="D95" s="166">
        <f>[2]STAFF_KPB!D70</f>
        <v>0</v>
      </c>
      <c r="E95" s="166">
        <f>[2]STAFF_KPB!E70</f>
        <v>0</v>
      </c>
      <c r="F95" s="166">
        <f>[2]STAFF_KPB!F70</f>
        <v>0</v>
      </c>
      <c r="G95" s="166">
        <f>[2]STAFF_KPB!G70</f>
        <v>0</v>
      </c>
      <c r="H95" s="166">
        <f>[2]STAFF_KPB!H70</f>
        <v>0</v>
      </c>
      <c r="I95" s="166">
        <f>[2]STAFF_KPB!I70</f>
        <v>56801.646900000007</v>
      </c>
      <c r="J95" s="166">
        <f>[2]STAFF_KPB!J70</f>
        <v>146264.24076750001</v>
      </c>
      <c r="K95" s="166">
        <f>[2]STAFF_KPB!K70</f>
        <v>241043.46878484002</v>
      </c>
      <c r="L95" s="166">
        <f>[2]STAFF_KPB!L70</f>
        <v>310343.46606048156</v>
      </c>
      <c r="M95" s="166">
        <f>[2]STAFF_KPB!M70</f>
        <v>415549.90105498483</v>
      </c>
      <c r="N95" s="166">
        <f>[2]STAFF_KPB!N70</f>
        <v>493865.07471534738</v>
      </c>
      <c r="O95" s="166">
        <f>[2]STAFF_KPB!O70</f>
        <v>610417.23234816943</v>
      </c>
    </row>
    <row r="96" spans="1:15">
      <c r="B96" s="240" t="str">
        <f>'[2]FromCP_FY23-Staffing Sheet'!J6</f>
        <v xml:space="preserve">Principal </v>
      </c>
      <c r="C96" s="166">
        <f>[2]STAFF_KPB!C71</f>
        <v>0</v>
      </c>
      <c r="D96" s="166">
        <f>[2]STAFF_KPB!D71</f>
        <v>0</v>
      </c>
      <c r="E96" s="166">
        <f>[2]STAFF_KPB!E71</f>
        <v>0</v>
      </c>
      <c r="F96" s="166">
        <f>[2]STAFF_KPB!F71</f>
        <v>0</v>
      </c>
      <c r="G96" s="166">
        <f>[2]STAFF_KPB!G71</f>
        <v>0</v>
      </c>
      <c r="H96" s="166">
        <f>[2]STAFF_KPB!H71</f>
        <v>109899.97</v>
      </c>
      <c r="I96" s="166">
        <f>[2]STAFF_KPB!I71</f>
        <v>113196.9691</v>
      </c>
      <c r="J96" s="166">
        <f>[2]STAFF_KPB!J71</f>
        <v>116592.878173</v>
      </c>
      <c r="K96" s="166">
        <f>[2]STAFF_KPB!K71</f>
        <v>120090.66451819001</v>
      </c>
      <c r="L96" s="166">
        <f>[2]STAFF_KPB!L71</f>
        <v>123693.38445373571</v>
      </c>
      <c r="M96" s="166">
        <f>[2]STAFF_KPB!M71</f>
        <v>127404.18598734778</v>
      </c>
      <c r="N96" s="166">
        <f>[2]STAFF_KPB!N71</f>
        <v>131226.31156696822</v>
      </c>
      <c r="O96" s="166">
        <f>[2]STAFF_KPB!O71</f>
        <v>135163.10091397728</v>
      </c>
    </row>
    <row r="97" spans="2:17">
      <c r="B97" s="240" t="str">
        <f>'[2]FromCP_FY23-Staffing Sheet'!J7</f>
        <v>Operations, Admin, APs</v>
      </c>
      <c r="C97" s="166">
        <f>[2]STAFF_KPB!C72</f>
        <v>0</v>
      </c>
      <c r="D97" s="166">
        <f>[2]STAFF_KPB!D72</f>
        <v>0</v>
      </c>
      <c r="E97" s="166">
        <f>[2]STAFF_KPB!E72</f>
        <v>0</v>
      </c>
      <c r="F97" s="166">
        <f>[2]STAFF_KPB!F72</f>
        <v>0</v>
      </c>
      <c r="G97" s="166">
        <f>[2]STAFF_KPB!G72</f>
        <v>0</v>
      </c>
      <c r="H97" s="166">
        <f>[2]STAFF_KPB!H72</f>
        <v>122620.81333333332</v>
      </c>
      <c r="I97" s="166">
        <f>[2]STAFF_KPB!I72</f>
        <v>221024.01603333332</v>
      </c>
      <c r="J97" s="166">
        <f>[2]STAFF_KPB!J72</f>
        <v>97566.315648999996</v>
      </c>
      <c r="K97" s="166">
        <f>[2]STAFF_KPB!K72</f>
        <v>167488.84186411666</v>
      </c>
      <c r="L97" s="166">
        <f>[2]STAFF_KPB!L72</f>
        <v>241518.90996805622</v>
      </c>
      <c r="M97" s="166">
        <f>[2]STAFF_KPB!M72</f>
        <v>284302.25973382621</v>
      </c>
      <c r="N97" s="166">
        <f>[2]STAFF_KPB!N72</f>
        <v>366039.15940730128</v>
      </c>
      <c r="O97" s="166">
        <f>[2]STAFF_KPB!O72</f>
        <v>452424.40102742438</v>
      </c>
    </row>
    <row r="98" spans="2:17">
      <c r="B98" s="240" t="str">
        <f>'[2]FromCP_FY23-Staffing Sheet'!J8</f>
        <v>Central - Exec</v>
      </c>
      <c r="C98" s="166">
        <f>[2]STAFF_KPB!C73</f>
        <v>0</v>
      </c>
      <c r="D98" s="166">
        <f>[2]STAFF_KPB!D73</f>
        <v>0</v>
      </c>
      <c r="E98" s="166">
        <f>[2]STAFF_KPB!E73</f>
        <v>0</v>
      </c>
      <c r="F98" s="166">
        <f>[2]STAFF_KPB!F73</f>
        <v>0</v>
      </c>
      <c r="G98" s="166">
        <f>[2]STAFF_KPB!G73</f>
        <v>0</v>
      </c>
      <c r="H98" s="166">
        <f>[2]STAFF_KPB!H73</f>
        <v>0</v>
      </c>
      <c r="I98" s="166">
        <f>[2]STAFF_KPB!I73</f>
        <v>0</v>
      </c>
      <c r="J98" s="166">
        <f>[2]STAFF_KPB!J73</f>
        <v>0</v>
      </c>
      <c r="K98" s="166">
        <f>[2]STAFF_KPB!K73</f>
        <v>0</v>
      </c>
      <c r="L98" s="166">
        <f>[2]STAFF_KPB!L73</f>
        <v>0</v>
      </c>
      <c r="M98" s="166">
        <f>[2]STAFF_KPB!M73</f>
        <v>0</v>
      </c>
      <c r="N98" s="166">
        <f>[2]STAFF_KPB!N73</f>
        <v>0</v>
      </c>
      <c r="O98" s="166">
        <f>[2]STAFF_KPB!O73</f>
        <v>0</v>
      </c>
    </row>
    <row r="99" spans="2:17">
      <c r="B99" s="240" t="str">
        <f>'[2]FromCP_FY23-Staffing Sheet'!J9</f>
        <v>Cental - Academic</v>
      </c>
      <c r="G99" s="166"/>
      <c r="H99" s="166">
        <f>[2]STAFF_KPB!H74</f>
        <v>0</v>
      </c>
      <c r="I99" s="166">
        <f>[2]STAFF_KPB!I74</f>
        <v>0</v>
      </c>
      <c r="J99" s="166">
        <f>[2]STAFF_KPB!J74</f>
        <v>0</v>
      </c>
      <c r="K99" s="166">
        <f>[2]STAFF_KPB!K74</f>
        <v>0</v>
      </c>
      <c r="L99" s="166">
        <f>[2]STAFF_KPB!L74</f>
        <v>0</v>
      </c>
      <c r="M99" s="166">
        <f>[2]STAFF_KPB!M74</f>
        <v>0</v>
      </c>
      <c r="N99" s="166">
        <f>[2]STAFF_KPB!N74</f>
        <v>0</v>
      </c>
      <c r="O99" s="166">
        <f>[2]STAFF_KPB!O74</f>
        <v>0</v>
      </c>
    </row>
    <row r="100" spans="2:17">
      <c r="B100" s="240" t="str">
        <f>'[2]FromCP_FY23-Staffing Sheet'!J10</f>
        <v>Central - Ops</v>
      </c>
      <c r="G100" s="166"/>
      <c r="H100" s="166">
        <f>[2]STAFF_KPB!H75</f>
        <v>0</v>
      </c>
      <c r="I100" s="166">
        <f>[2]STAFF_KPB!I75</f>
        <v>0</v>
      </c>
      <c r="J100" s="166">
        <f>[2]STAFF_KPB!J75</f>
        <v>0</v>
      </c>
      <c r="K100" s="166">
        <f>[2]STAFF_KPB!K75</f>
        <v>0</v>
      </c>
      <c r="L100" s="166">
        <f>[2]STAFF_KPB!L75</f>
        <v>0</v>
      </c>
      <c r="M100" s="166">
        <f>[2]STAFF_KPB!M75</f>
        <v>0</v>
      </c>
      <c r="N100" s="166">
        <f>[2]STAFF_KPB!N75</f>
        <v>0</v>
      </c>
      <c r="O100" s="166">
        <f>[2]STAFF_KPB!O75</f>
        <v>0</v>
      </c>
    </row>
    <row r="101" spans="2:17">
      <c r="B101" s="240" t="str">
        <f>'[2]FromCP_FY23-Staffing Sheet'!J11</f>
        <v xml:space="preserve">Central - Admin </v>
      </c>
      <c r="G101" s="166"/>
      <c r="H101" s="166">
        <f>[2]STAFF_KPB!H76</f>
        <v>0</v>
      </c>
      <c r="I101" s="166">
        <f>[2]STAFF_KPB!I76</f>
        <v>0</v>
      </c>
      <c r="J101" s="166">
        <f>[2]STAFF_KPB!J76</f>
        <v>0</v>
      </c>
      <c r="K101" s="166">
        <f>[2]STAFF_KPB!K76</f>
        <v>0</v>
      </c>
      <c r="L101" s="166">
        <f>[2]STAFF_KPB!L76</f>
        <v>0</v>
      </c>
      <c r="M101" s="166">
        <f>[2]STAFF_KPB!M76</f>
        <v>0</v>
      </c>
      <c r="N101" s="166">
        <f>[2]STAFF_KPB!N76</f>
        <v>0</v>
      </c>
      <c r="O101" s="166">
        <f>[2]STAFF_KPB!O76</f>
        <v>0</v>
      </c>
    </row>
    <row r="102" spans="2:17">
      <c r="B102" s="240" t="str">
        <f>'[2]FromCP_FY23-Staffing Sheet'!J12</f>
        <v>Central - Finance</v>
      </c>
      <c r="G102" s="166"/>
      <c r="H102" s="166">
        <f>[2]STAFF_KPB!H77</f>
        <v>0</v>
      </c>
      <c r="I102" s="166">
        <f>[2]STAFF_KPB!I77</f>
        <v>0</v>
      </c>
      <c r="J102" s="166">
        <f>[2]STAFF_KPB!J77</f>
        <v>0</v>
      </c>
      <c r="K102" s="166">
        <f>[2]STAFF_KPB!K77</f>
        <v>0</v>
      </c>
      <c r="L102" s="166">
        <f>[2]STAFF_KPB!L77</f>
        <v>0</v>
      </c>
      <c r="M102" s="166">
        <f>[2]STAFF_KPB!M77</f>
        <v>0</v>
      </c>
      <c r="N102" s="166">
        <f>[2]STAFF_KPB!N77</f>
        <v>0</v>
      </c>
      <c r="O102" s="166">
        <f>[2]STAFF_KPB!O77</f>
        <v>0</v>
      </c>
    </row>
    <row r="103" spans="2:17">
      <c r="B103" s="240" t="str">
        <f>'[2]FromCP_FY23-Staffing Sheet'!J13</f>
        <v xml:space="preserve">Central - Other Directors </v>
      </c>
      <c r="G103" s="166"/>
      <c r="H103" s="166">
        <f>[2]STAFF_KPB!H78</f>
        <v>0</v>
      </c>
      <c r="I103" s="166">
        <f>[2]STAFF_KPB!I78</f>
        <v>0</v>
      </c>
      <c r="J103" s="166">
        <f>[2]STAFF_KPB!J78</f>
        <v>0</v>
      </c>
      <c r="K103" s="166">
        <f>[2]STAFF_KPB!K78</f>
        <v>0</v>
      </c>
      <c r="L103" s="166">
        <f>[2]STAFF_KPB!L78</f>
        <v>0</v>
      </c>
      <c r="M103" s="166">
        <f>[2]STAFF_KPB!M78</f>
        <v>0</v>
      </c>
      <c r="N103" s="166">
        <f>[2]STAFF_KPB!N78</f>
        <v>0</v>
      </c>
      <c r="O103" s="166">
        <f>[2]STAFF_KPB!O78</f>
        <v>0</v>
      </c>
    </row>
    <row r="104" spans="2:17">
      <c r="B104" s="240" t="s">
        <v>329</v>
      </c>
      <c r="C104" s="166">
        <f>[2]STAFF_KPB!C79</f>
        <v>0</v>
      </c>
      <c r="D104" s="166">
        <f>[2]STAFF_KPB!D79</f>
        <v>0</v>
      </c>
      <c r="E104" s="166">
        <f>[2]STAFF_KPB!E79</f>
        <v>0</v>
      </c>
      <c r="F104" s="166">
        <f>[2]STAFF_KPB!F79</f>
        <v>0</v>
      </c>
      <c r="G104" s="166">
        <f>[2]STAFF_KPB!G79</f>
        <v>0</v>
      </c>
      <c r="H104" s="166">
        <f>[2]STAFF_KPB!H81</f>
        <v>0</v>
      </c>
      <c r="I104" s="166">
        <f>[2]STAFF_KPB!I81</f>
        <v>26712.643678160919</v>
      </c>
      <c r="J104" s="166">
        <f>[2]STAFF_KPB!J81</f>
        <v>38466.206896551725</v>
      </c>
      <c r="K104" s="166">
        <f>[2]STAFF_KPB!K81</f>
        <v>56630.80459770115</v>
      </c>
      <c r="L104" s="166">
        <f>[2]STAFF_KPB!L81</f>
        <v>74795.402298850575</v>
      </c>
      <c r="M104" s="166">
        <f>[2]STAFF_KPB!M81</f>
        <v>92960</v>
      </c>
      <c r="N104" s="166">
        <f>[2]STAFF_KPB!N81</f>
        <v>110056.09195402298</v>
      </c>
      <c r="O104" s="166">
        <f>[2]STAFF_KPB!O81</f>
        <v>128220.68965517241</v>
      </c>
    </row>
    <row r="105" spans="2:17">
      <c r="B105" s="240" t="s">
        <v>330</v>
      </c>
      <c r="C105" s="166">
        <f>[2]STAFF_KPB!C80</f>
        <v>0</v>
      </c>
      <c r="D105" s="166">
        <f>[2]STAFF_KPB!D80</f>
        <v>0</v>
      </c>
      <c r="E105" s="166">
        <f>[2]STAFF_KPB!E80</f>
        <v>0</v>
      </c>
      <c r="F105" s="166">
        <f>[2]STAFF_KPB!F80</f>
        <v>0</v>
      </c>
      <c r="G105" s="166">
        <f>[2]STAFF_KPB!G80</f>
        <v>0</v>
      </c>
      <c r="H105" s="166">
        <f>[2]STAFF_KPB!H82</f>
        <v>2396.5517241379312</v>
      </c>
      <c r="I105" s="166">
        <f>[2]STAFF_KPB!I82</f>
        <v>9985.6321839080465</v>
      </c>
      <c r="J105" s="166">
        <f>[2]STAFF_KPB!J82</f>
        <v>14379.310344827587</v>
      </c>
      <c r="K105" s="166">
        <f>[2]STAFF_KPB!K82</f>
        <v>21169.54022988506</v>
      </c>
      <c r="L105" s="166">
        <f>[2]STAFF_KPB!L82</f>
        <v>27959.77011494253</v>
      </c>
      <c r="M105" s="166">
        <f>[2]STAFF_KPB!M82</f>
        <v>34750</v>
      </c>
      <c r="N105" s="166">
        <f>[2]STAFF_KPB!N82</f>
        <v>41140.80459770115</v>
      </c>
      <c r="O105" s="166">
        <f>[2]STAFF_KPB!O82</f>
        <v>47931.034482758623</v>
      </c>
    </row>
    <row r="106" spans="2:17">
      <c r="B106" s="240" t="s">
        <v>331</v>
      </c>
      <c r="C106" s="166">
        <f>[2]STAFF_KPB!C81</f>
        <v>0</v>
      </c>
      <c r="D106" s="166">
        <f>[2]STAFF_KPB!D81</f>
        <v>0</v>
      </c>
      <c r="E106" s="166">
        <f>[2]STAFF_KPB!E81</f>
        <v>0</v>
      </c>
      <c r="F106" s="166">
        <f>[2]STAFF_KPB!F81</f>
        <v>0</v>
      </c>
      <c r="G106" s="166">
        <f>[2]STAFF_KPB!G81</f>
        <v>0</v>
      </c>
      <c r="H106" s="166">
        <f>[2]STAFF_KPB!H83</f>
        <v>2665.5172413793102</v>
      </c>
      <c r="I106" s="166">
        <f>[2]STAFF_KPB!I83</f>
        <v>11106.32183908046</v>
      </c>
      <c r="J106" s="166">
        <f>[2]STAFF_KPB!J83</f>
        <v>15993.103448275862</v>
      </c>
      <c r="K106" s="166">
        <f>[2]STAFF_KPB!K83</f>
        <v>23545.402298850575</v>
      </c>
      <c r="L106" s="166">
        <f>[2]STAFF_KPB!L83</f>
        <v>31097.701149425287</v>
      </c>
      <c r="M106" s="166">
        <f>[2]STAFF_KPB!M83</f>
        <v>38650</v>
      </c>
      <c r="N106" s="166">
        <f>[2]STAFF_KPB!N83</f>
        <v>45758.04597701149</v>
      </c>
      <c r="O106" s="166">
        <f>[2]STAFF_KPB!O83</f>
        <v>53310.344827586203</v>
      </c>
    </row>
    <row r="107" spans="2:17">
      <c r="B107" s="240"/>
      <c r="C107" s="241"/>
    </row>
    <row r="108" spans="2:17">
      <c r="B108" s="242" t="s">
        <v>332</v>
      </c>
      <c r="F108" s="243"/>
    </row>
    <row r="109" spans="2:17">
      <c r="B109" s="244" t="s">
        <v>333</v>
      </c>
      <c r="C109" s="166">
        <f>INPUTS!C70*C45</f>
        <v>0</v>
      </c>
      <c r="D109" s="166">
        <f>INPUTS!D70*D45</f>
        <v>0</v>
      </c>
      <c r="E109" s="166">
        <f>INPUTS!E70*E45</f>
        <v>0</v>
      </c>
      <c r="F109" s="166">
        <f>INPUTS!F70*F45</f>
        <v>0</v>
      </c>
      <c r="G109" s="166">
        <f>INPUTS!G70*G45</f>
        <v>0</v>
      </c>
      <c r="H109" s="166">
        <f>INPUTS!H70*H45</f>
        <v>48138.795918367345</v>
      </c>
      <c r="I109" s="166">
        <f>INPUTS!I70*I45</f>
        <v>204589.88265306121</v>
      </c>
      <c r="J109" s="166">
        <f>INPUTS!J70*J45</f>
        <v>300501.61964081635</v>
      </c>
      <c r="K109" s="166">
        <f>INPUTS!K70*K45</f>
        <v>451253.26549395919</v>
      </c>
      <c r="L109" s="166">
        <f>INPUTS!L70*L45</f>
        <v>607914.77653337154</v>
      </c>
      <c r="M109" s="166">
        <f>INPUTS!M70*M45</f>
        <v>770662.24670816271</v>
      </c>
      <c r="N109" s="166">
        <f>INPUTS!N70*N45</f>
        <v>930641.09930068464</v>
      </c>
      <c r="O109" s="166">
        <f>INPUTS!O70*O45</f>
        <v>1105926.8985864448</v>
      </c>
      <c r="Q109" t="s">
        <v>334</v>
      </c>
    </row>
    <row r="110" spans="2:17">
      <c r="B110" s="244" t="s">
        <v>335</v>
      </c>
      <c r="C110" s="166">
        <f>INPUTS!C69*C93</f>
        <v>0</v>
      </c>
      <c r="D110" s="166">
        <f>INPUTS!D69*D93</f>
        <v>0</v>
      </c>
      <c r="E110" s="166">
        <f>INPUTS!E69*E93</f>
        <v>0</v>
      </c>
      <c r="F110" s="166">
        <f>INPUTS!F69*F93</f>
        <v>0</v>
      </c>
      <c r="G110" s="166">
        <f>INPUTS!G69*G93</f>
        <v>0</v>
      </c>
      <c r="H110" s="166">
        <f>INPUTS!H69*H93</f>
        <v>18175.088200862068</v>
      </c>
      <c r="I110" s="166">
        <f>INPUTS!I69*I93</f>
        <v>64016.703634815349</v>
      </c>
      <c r="J110" s="166">
        <f>INPUTS!J69*J93</f>
        <v>91078.200271727692</v>
      </c>
      <c r="K110" s="166">
        <f>INPUTS!K69*K93</f>
        <v>135865.68495153694</v>
      </c>
      <c r="L110" s="166">
        <f>INPUTS!L69*L93</f>
        <v>183116.25448803185</v>
      </c>
      <c r="M110" s="166">
        <f>INPUTS!M69*M93</f>
        <v>232664.0600067238</v>
      </c>
      <c r="N110" s="166">
        <f>INPUTS!N69*N93</f>
        <v>282494.0181919079</v>
      </c>
      <c r="O110" s="166">
        <f>INPUTS!O69*O93</f>
        <v>337715.95462043548</v>
      </c>
      <c r="Q110" t="s">
        <v>336</v>
      </c>
    </row>
    <row r="111" spans="2:17">
      <c r="B111" s="242" t="s">
        <v>337</v>
      </c>
      <c r="C111" s="238">
        <f t="shared" ref="C111:N111" si="23">SUM(C109:C110)</f>
        <v>0</v>
      </c>
      <c r="D111" s="238">
        <f t="shared" si="23"/>
        <v>0</v>
      </c>
      <c r="E111" s="238">
        <f t="shared" si="23"/>
        <v>0</v>
      </c>
      <c r="F111" s="245">
        <f t="shared" si="23"/>
        <v>0</v>
      </c>
      <c r="G111" s="245">
        <f t="shared" si="23"/>
        <v>0</v>
      </c>
      <c r="H111" s="238">
        <f t="shared" si="23"/>
        <v>66313.88411922942</v>
      </c>
      <c r="I111" s="238">
        <f t="shared" si="23"/>
        <v>268606.58628787659</v>
      </c>
      <c r="J111" s="238">
        <f t="shared" si="23"/>
        <v>391579.81991254404</v>
      </c>
      <c r="K111" s="238">
        <f t="shared" si="23"/>
        <v>587118.95044549613</v>
      </c>
      <c r="L111" s="238">
        <f t="shared" si="23"/>
        <v>791031.03102140338</v>
      </c>
      <c r="M111" s="238">
        <f t="shared" si="23"/>
        <v>1003326.3067148866</v>
      </c>
      <c r="N111" s="238">
        <f t="shared" si="23"/>
        <v>1213135.1174925924</v>
      </c>
      <c r="O111" s="238">
        <f t="shared" ref="O111" si="24">SUM(O109:O110)</f>
        <v>1443642.8532068804</v>
      </c>
    </row>
    <row r="112" spans="2:17">
      <c r="B112" s="246" t="s">
        <v>338</v>
      </c>
      <c r="C112" s="247">
        <f t="shared" ref="C112:O112" si="25">IFERROR((SUM(C111,C93)/SUM(C69:C77)),0)</f>
        <v>0</v>
      </c>
      <c r="D112" s="247">
        <f t="shared" si="25"/>
        <v>0</v>
      </c>
      <c r="E112" s="247">
        <f t="shared" si="25"/>
        <v>0</v>
      </c>
      <c r="F112" s="247">
        <f t="shared" si="25"/>
        <v>0</v>
      </c>
      <c r="G112" s="247">
        <f t="shared" si="25"/>
        <v>0</v>
      </c>
      <c r="H112" s="247">
        <f t="shared" si="25"/>
        <v>0</v>
      </c>
      <c r="I112" s="247">
        <f t="shared" si="25"/>
        <v>0.82471423957473577</v>
      </c>
      <c r="J112" s="247">
        <f t="shared" si="25"/>
        <v>0.58413733539159751</v>
      </c>
      <c r="K112" s="247">
        <f t="shared" si="25"/>
        <v>0.57581569158728574</v>
      </c>
      <c r="L112" s="247">
        <f t="shared" si="25"/>
        <v>0.53621111551415201</v>
      </c>
      <c r="M112" s="247">
        <f t="shared" si="25"/>
        <v>0.51775028772411225</v>
      </c>
      <c r="N112" s="247">
        <f t="shared" si="25"/>
        <v>0.50463021703828703</v>
      </c>
      <c r="O112" s="247">
        <f t="shared" si="25"/>
        <v>0.5020926903773032</v>
      </c>
    </row>
    <row r="113" spans="2:18">
      <c r="B113" s="246" t="s">
        <v>339</v>
      </c>
      <c r="C113" s="247">
        <f t="shared" ref="C113:O113" si="26">IFERROR(SUM(C111,C93)/C154,0)</f>
        <v>0</v>
      </c>
      <c r="D113" s="247">
        <f t="shared" si="26"/>
        <v>0</v>
      </c>
      <c r="E113" s="247">
        <f t="shared" si="26"/>
        <v>0</v>
      </c>
      <c r="F113" s="247">
        <f t="shared" si="26"/>
        <v>0</v>
      </c>
      <c r="G113" s="247">
        <f t="shared" si="26"/>
        <v>0</v>
      </c>
      <c r="H113" s="247">
        <f t="shared" si="26"/>
        <v>0.88368601453847051</v>
      </c>
      <c r="I113" s="247">
        <f t="shared" si="26"/>
        <v>0.4735430421810265</v>
      </c>
      <c r="J113" s="247">
        <f t="shared" si="26"/>
        <v>0.46066734990206432</v>
      </c>
      <c r="K113" s="247">
        <f t="shared" si="26"/>
        <v>0.49210769625898226</v>
      </c>
      <c r="L113" s="247">
        <f t="shared" si="26"/>
        <v>0.50002989007733611</v>
      </c>
      <c r="M113" s="247">
        <f t="shared" si="26"/>
        <v>0.50429176089731798</v>
      </c>
      <c r="N113" s="247">
        <f t="shared" si="26"/>
        <v>0.51317604288976848</v>
      </c>
      <c r="O113" s="247">
        <f t="shared" si="26"/>
        <v>0.51711032809523994</v>
      </c>
    </row>
    <row r="114" spans="2:18">
      <c r="B114" s="246" t="s">
        <v>340</v>
      </c>
      <c r="C114" s="247"/>
      <c r="D114" s="247"/>
      <c r="E114" s="247"/>
      <c r="F114" s="247"/>
      <c r="G114" s="247"/>
      <c r="H114" s="247"/>
      <c r="I114" s="247">
        <f t="shared" ref="I114:O114" si="27">I111/I93</f>
        <v>0.32098503490965996</v>
      </c>
      <c r="J114" s="247">
        <f t="shared" si="27"/>
        <v>0.32890259287005758</v>
      </c>
      <c r="K114" s="247">
        <f t="shared" si="27"/>
        <v>0.3305808948381736</v>
      </c>
      <c r="L114" s="247">
        <f t="shared" si="27"/>
        <v>0.33046697051731383</v>
      </c>
      <c r="M114" s="247">
        <f t="shared" si="27"/>
        <v>0.3298939357521341</v>
      </c>
      <c r="N114" s="247">
        <f t="shared" si="27"/>
        <v>0.3285196517865302</v>
      </c>
      <c r="O114" s="247">
        <f t="shared" si="27"/>
        <v>0.32701646682476165</v>
      </c>
    </row>
    <row r="115" spans="2:18">
      <c r="B115" s="242"/>
      <c r="C115" s="242"/>
      <c r="D115" s="242"/>
      <c r="E115" s="242"/>
      <c r="F115" s="242"/>
      <c r="G115" s="238"/>
    </row>
    <row r="116" spans="2:18">
      <c r="B116" s="244" t="s">
        <v>341</v>
      </c>
      <c r="C116" s="166">
        <f>INPUTS!C81*C31</f>
        <v>0</v>
      </c>
      <c r="D116" s="166">
        <f>INPUTS!D81*D31</f>
        <v>0</v>
      </c>
      <c r="E116" s="166">
        <f>INPUTS!E81*E31</f>
        <v>0</v>
      </c>
      <c r="F116" s="166">
        <f>INPUTS!F81*F31</f>
        <v>0</v>
      </c>
      <c r="G116" s="166">
        <f>INPUTS!G81*G31</f>
        <v>0</v>
      </c>
      <c r="H116" s="166">
        <f>INPUTS!H81*H31</f>
        <v>0</v>
      </c>
      <c r="I116" s="166">
        <f>INPUTS!I81*I31</f>
        <v>55445.760598503744</v>
      </c>
      <c r="J116" s="166">
        <f>INPUTS!J81*J31</f>
        <v>109307.35660847882</v>
      </c>
      <c r="K116" s="166">
        <f>INPUTS!K81*K31</f>
        <v>161584.7880299252</v>
      </c>
      <c r="L116" s="166">
        <f>INPUTS!L81*L31</f>
        <v>215974.43890274316</v>
      </c>
      <c r="M116" s="166">
        <f>INPUTS!M81*M31</f>
        <v>268779.92518703244</v>
      </c>
      <c r="N116" s="166">
        <f>INPUTS!N81*N31</f>
        <v>320001.24688279303</v>
      </c>
      <c r="O116" s="166">
        <f>INPUTS!O81*O31</f>
        <v>369638.40399002499</v>
      </c>
      <c r="Q116" t="s">
        <v>342</v>
      </c>
    </row>
    <row r="117" spans="2:18">
      <c r="D117"/>
      <c r="E117"/>
      <c r="F117"/>
    </row>
    <row r="118" spans="2:18">
      <c r="B118" s="242" t="s">
        <v>132</v>
      </c>
      <c r="C118" s="248"/>
      <c r="D118" s="249"/>
      <c r="E118" s="249"/>
      <c r="F118" s="249"/>
      <c r="Q118" s="250"/>
    </row>
    <row r="119" spans="2:18">
      <c r="B119" s="244" t="s">
        <v>343</v>
      </c>
      <c r="C119" s="166">
        <f>INPUTS!C85*C31</f>
        <v>0</v>
      </c>
      <c r="D119" s="166">
        <f>INPUTS!D85*D31</f>
        <v>0</v>
      </c>
      <c r="E119" s="166">
        <f>INPUTS!E85*E31</f>
        <v>0</v>
      </c>
      <c r="F119" s="166">
        <f>INPUTS!F85*F31</f>
        <v>0</v>
      </c>
      <c r="G119" s="166">
        <f>INPUTS!G85*G$31</f>
        <v>0</v>
      </c>
      <c r="H119" s="166">
        <f>INPUTS!H85*H31</f>
        <v>0</v>
      </c>
      <c r="I119" s="166">
        <f>I31*INPUTS!I85</f>
        <v>222608.08709371576</v>
      </c>
      <c r="J119" s="166">
        <f>J31*INPUTS!J85</f>
        <v>447633.06199016335</v>
      </c>
      <c r="K119" s="166">
        <f>K31*INPUTS!K85</f>
        <v>674952.80825299409</v>
      </c>
      <c r="L119" s="166">
        <f>L31*INPUTS!L85</f>
        <v>920185.66191824863</v>
      </c>
      <c r="M119" s="166">
        <f>M31*INPUTS!M85</f>
        <v>1168073.3299626315</v>
      </c>
      <c r="N119" s="166">
        <f>N31*INPUTS!N85</f>
        <v>1418486.2214469584</v>
      </c>
      <c r="O119" s="166">
        <f>O31*INPUTS!O85</f>
        <v>1671285.746061268</v>
      </c>
      <c r="Q119" t="s">
        <v>344</v>
      </c>
    </row>
    <row r="120" spans="2:18">
      <c r="B120" s="242" t="s">
        <v>345</v>
      </c>
      <c r="C120" s="238">
        <f t="shared" ref="C120:N120" si="28">SUM(C119)</f>
        <v>0</v>
      </c>
      <c r="D120" s="238">
        <f t="shared" si="28"/>
        <v>0</v>
      </c>
      <c r="E120" s="238">
        <f t="shared" si="28"/>
        <v>0</v>
      </c>
      <c r="F120" s="238">
        <f t="shared" si="28"/>
        <v>0</v>
      </c>
      <c r="G120" s="238">
        <f t="shared" si="28"/>
        <v>0</v>
      </c>
      <c r="H120" s="238">
        <f t="shared" si="28"/>
        <v>0</v>
      </c>
      <c r="I120" s="238">
        <f t="shared" si="28"/>
        <v>222608.08709371576</v>
      </c>
      <c r="J120" s="238">
        <f t="shared" si="28"/>
        <v>447633.06199016335</v>
      </c>
      <c r="K120" s="238">
        <f t="shared" si="28"/>
        <v>674952.80825299409</v>
      </c>
      <c r="L120" s="238">
        <f t="shared" si="28"/>
        <v>920185.66191824863</v>
      </c>
      <c r="M120" s="238">
        <f t="shared" si="28"/>
        <v>1168073.3299626315</v>
      </c>
      <c r="N120" s="238">
        <f t="shared" si="28"/>
        <v>1418486.2214469584</v>
      </c>
      <c r="O120" s="238">
        <f t="shared" ref="O120" si="29">SUM(O119)</f>
        <v>1671285.746061268</v>
      </c>
    </row>
    <row r="122" spans="2:18">
      <c r="B122" s="242" t="s">
        <v>346</v>
      </c>
      <c r="C122" s="243"/>
    </row>
    <row r="123" spans="2:18">
      <c r="B123" s="244" t="s">
        <v>347</v>
      </c>
      <c r="C123" s="166">
        <v>0</v>
      </c>
      <c r="D123" s="166">
        <f>C123*(1+INPUTS!D112)</f>
        <v>0</v>
      </c>
      <c r="E123" s="166">
        <f>D123*(1+INPUTS!E112)</f>
        <v>0</v>
      </c>
      <c r="F123" s="166">
        <f>E123*(1+INPUTS!F112)</f>
        <v>0</v>
      </c>
      <c r="G123" s="166">
        <f>F123*(1+INPUTS!G112)</f>
        <v>0</v>
      </c>
      <c r="H123" s="166">
        <f>G123*(1+INPUTS!H112)</f>
        <v>0</v>
      </c>
      <c r="I123" s="166">
        <v>0</v>
      </c>
      <c r="J123" s="166">
        <f>I123*(1+INPUTS!J112)</f>
        <v>0</v>
      </c>
      <c r="K123" s="166">
        <f>J123*(1+INPUTS!K112)</f>
        <v>0</v>
      </c>
      <c r="L123" s="166">
        <f>K123*(1+INPUTS!L112)</f>
        <v>0</v>
      </c>
      <c r="M123" s="166">
        <f>L123*(1+INPUTS!M112)</f>
        <v>0</v>
      </c>
      <c r="N123" s="166">
        <f>M123*(1+INPUTS!N112)</f>
        <v>0</v>
      </c>
      <c r="O123" s="166">
        <f>N123*(1+INPUTS!O112)</f>
        <v>0</v>
      </c>
      <c r="Q123" t="s">
        <v>348</v>
      </c>
    </row>
    <row r="124" spans="2:18" ht="15" customHeight="1">
      <c r="B124" s="244" t="s">
        <v>349</v>
      </c>
      <c r="C124" s="166">
        <v>0</v>
      </c>
      <c r="D124" s="166">
        <v>0</v>
      </c>
      <c r="E124" s="166">
        <v>0</v>
      </c>
      <c r="F124" s="166">
        <f>0</f>
        <v>0</v>
      </c>
      <c r="G124" s="166">
        <f>0</f>
        <v>0</v>
      </c>
      <c r="H124" s="166">
        <f>0</f>
        <v>0</v>
      </c>
      <c r="I124" s="166">
        <v>0</v>
      </c>
      <c r="J124" s="166">
        <f>0</f>
        <v>0</v>
      </c>
      <c r="K124" s="166">
        <f>0</f>
        <v>0</v>
      </c>
      <c r="L124" s="166">
        <f>0</f>
        <v>0</v>
      </c>
      <c r="M124" s="166">
        <f>0</f>
        <v>0</v>
      </c>
      <c r="N124" s="166">
        <f>0</f>
        <v>0</v>
      </c>
      <c r="O124" s="166">
        <f>0</f>
        <v>0</v>
      </c>
    </row>
    <row r="125" spans="2:18" ht="15.75">
      <c r="B125" s="244" t="s">
        <v>350</v>
      </c>
      <c r="C125" s="166">
        <v>0</v>
      </c>
      <c r="D125" s="166">
        <v>0</v>
      </c>
      <c r="E125" s="166">
        <v>0</v>
      </c>
      <c r="F125" s="166">
        <v>0</v>
      </c>
      <c r="G125" s="166">
        <v>0</v>
      </c>
      <c r="H125" s="166">
        <v>0</v>
      </c>
      <c r="I125" s="230">
        <f t="shared" ref="I125:O125" si="30">I86*0.1</f>
        <v>250704.15366518797</v>
      </c>
      <c r="J125" s="230">
        <f t="shared" si="30"/>
        <v>387518.13146582135</v>
      </c>
      <c r="K125" s="230">
        <f t="shared" si="30"/>
        <v>487065.51659060328</v>
      </c>
      <c r="L125" s="230">
        <f t="shared" si="30"/>
        <v>653927.92654494476</v>
      </c>
      <c r="M125" s="230">
        <f t="shared" si="30"/>
        <v>841204.11791947379</v>
      </c>
      <c r="N125" s="230">
        <f t="shared" si="30"/>
        <v>972170.75311740302</v>
      </c>
      <c r="O125" s="230">
        <f t="shared" si="30"/>
        <v>1166762.7526905127</v>
      </c>
      <c r="Q125" t="s">
        <v>351</v>
      </c>
      <c r="R125" t="s">
        <v>352</v>
      </c>
    </row>
    <row r="126" spans="2:18">
      <c r="B126" s="244" t="s">
        <v>353</v>
      </c>
      <c r="G126" s="166"/>
      <c r="H126" s="166">
        <v>0</v>
      </c>
      <c r="I126" s="166">
        <v>0</v>
      </c>
      <c r="J126" s="166">
        <v>0</v>
      </c>
      <c r="K126" s="166">
        <v>0</v>
      </c>
      <c r="L126" s="166">
        <v>0</v>
      </c>
      <c r="M126" s="166">
        <v>0</v>
      </c>
      <c r="N126" s="166">
        <v>0</v>
      </c>
      <c r="O126" s="166">
        <v>0</v>
      </c>
      <c r="R126" s="251"/>
    </row>
    <row r="127" spans="2:18">
      <c r="B127" s="244" t="s">
        <v>354</v>
      </c>
      <c r="C127" s="166">
        <v>0</v>
      </c>
      <c r="D127" s="166">
        <v>0</v>
      </c>
      <c r="E127" s="166">
        <v>0</v>
      </c>
      <c r="F127" s="166">
        <v>0</v>
      </c>
      <c r="G127" s="166">
        <v>0</v>
      </c>
      <c r="H127" s="166">
        <v>0</v>
      </c>
      <c r="I127" s="166">
        <v>0</v>
      </c>
      <c r="J127" s="166">
        <v>0</v>
      </c>
      <c r="K127" s="166">
        <v>0</v>
      </c>
      <c r="L127" s="166">
        <v>0</v>
      </c>
      <c r="M127" s="166">
        <v>0</v>
      </c>
      <c r="N127" s="166">
        <v>0</v>
      </c>
      <c r="O127" s="166">
        <v>0</v>
      </c>
      <c r="Q127" t="s">
        <v>355</v>
      </c>
    </row>
    <row r="128" spans="2:18">
      <c r="B128" s="244" t="s">
        <v>356</v>
      </c>
      <c r="G128" s="166">
        <f>INPUTS!G86*G$31</f>
        <v>0</v>
      </c>
      <c r="H128" s="166">
        <f>INPUTS!H86*H$31</f>
        <v>0</v>
      </c>
      <c r="I128" s="166">
        <f>INPUTS!I$87</f>
        <v>311636.83999999997</v>
      </c>
      <c r="J128" s="166">
        <f>INPUTS!J$87</f>
        <v>317869.57679999998</v>
      </c>
      <c r="K128" s="166">
        <f>INPUTS!K$87</f>
        <v>324226.96833599999</v>
      </c>
      <c r="L128" s="166">
        <f>INPUTS!L$87</f>
        <v>330711.50770272</v>
      </c>
      <c r="M128" s="166">
        <f>INPUTS!M$87</f>
        <v>337325.73785677442</v>
      </c>
      <c r="N128" s="166">
        <f>INPUTS!N$87</f>
        <v>344072.25261390989</v>
      </c>
      <c r="O128" s="166">
        <f>INPUTS!O$87</f>
        <v>350953.69766618812</v>
      </c>
    </row>
    <row r="129" spans="2:18">
      <c r="B129" s="244" t="s">
        <v>357</v>
      </c>
      <c r="G129" s="166"/>
      <c r="H129" s="166">
        <v>0</v>
      </c>
      <c r="I129" s="166">
        <v>0</v>
      </c>
      <c r="J129" s="166">
        <v>0</v>
      </c>
      <c r="K129" s="166">
        <v>0</v>
      </c>
      <c r="L129" s="166">
        <v>0</v>
      </c>
      <c r="M129" s="166">
        <v>0</v>
      </c>
      <c r="N129" s="166">
        <v>0</v>
      </c>
      <c r="O129" s="166">
        <v>0</v>
      </c>
      <c r="R129" s="251"/>
    </row>
    <row r="130" spans="2:18">
      <c r="B130" s="244" t="str">
        <f>[2]CONSOL!B130</f>
        <v>Debt Service - Chatt-1 Expansion</v>
      </c>
      <c r="G130" s="166"/>
      <c r="H130" s="166"/>
      <c r="I130" s="166"/>
      <c r="J130" s="166"/>
      <c r="K130" s="166"/>
      <c r="L130" s="166"/>
      <c r="M130" s="166"/>
      <c r="N130" s="166"/>
      <c r="O130" s="166"/>
      <c r="R130" s="251"/>
    </row>
    <row r="131" spans="2:18">
      <c r="B131" s="244" t="str">
        <f>[2]CONSOL!B131</f>
        <v>Debt Service - Knox Boys</v>
      </c>
      <c r="G131" s="166"/>
      <c r="H131" s="166"/>
      <c r="I131" s="166"/>
      <c r="J131" s="166"/>
      <c r="K131" s="166"/>
      <c r="L131" s="166"/>
      <c r="M131" s="166"/>
      <c r="N131" s="166"/>
      <c r="O131" s="166"/>
      <c r="R131" s="251"/>
    </row>
    <row r="132" spans="2:18">
      <c r="B132" s="244" t="str">
        <f>[2]CONSOL!B132</f>
        <v>Debt Service - Knox Girls</v>
      </c>
      <c r="G132" s="166"/>
      <c r="H132" s="166"/>
      <c r="I132" s="166"/>
      <c r="J132" s="166"/>
      <c r="K132" s="166"/>
      <c r="L132" s="166"/>
      <c r="M132" s="166"/>
      <c r="N132" s="166"/>
      <c r="O132" s="166"/>
      <c r="R132" s="251"/>
    </row>
    <row r="133" spans="2:18">
      <c r="B133" s="244" t="str">
        <f>[2]CONSOL!B133</f>
        <v>Debt Service - Knox Boys</v>
      </c>
      <c r="G133" s="166"/>
      <c r="H133" s="166"/>
      <c r="I133" s="166"/>
      <c r="J133" s="166"/>
      <c r="K133" s="166"/>
      <c r="L133" s="166"/>
      <c r="M133" s="166"/>
      <c r="N133" s="166"/>
      <c r="O133" s="166"/>
      <c r="R133" s="251"/>
    </row>
    <row r="134" spans="2:18">
      <c r="B134" s="244" t="str">
        <f>[2]CONSOL!B134</f>
        <v>Debt Service - Chatt-2</v>
      </c>
      <c r="G134" s="166"/>
      <c r="H134" s="166"/>
      <c r="I134" s="166"/>
      <c r="J134" s="166"/>
      <c r="K134" s="166"/>
      <c r="L134" s="166"/>
      <c r="M134" s="166"/>
      <c r="N134" s="166"/>
      <c r="O134" s="166"/>
      <c r="R134" s="251"/>
    </row>
    <row r="135" spans="2:18">
      <c r="B135" s="244" t="str">
        <f>[2]CONSOL!B135</f>
        <v>Debt Service - Construction Loan</v>
      </c>
      <c r="G135" s="166"/>
      <c r="H135" s="166"/>
      <c r="I135" s="166"/>
      <c r="J135" s="166"/>
      <c r="K135" s="166"/>
      <c r="L135" s="166"/>
      <c r="M135" s="166"/>
      <c r="N135" s="166"/>
      <c r="O135" s="166"/>
      <c r="R135" s="251"/>
    </row>
    <row r="136" spans="2:18">
      <c r="B136" s="242" t="s">
        <v>358</v>
      </c>
      <c r="C136" s="238">
        <f>SUM(C123:C129)</f>
        <v>0</v>
      </c>
      <c r="D136" s="238">
        <f>SUM(D123:D129)</f>
        <v>0</v>
      </c>
      <c r="E136" s="238">
        <f>SUM(E123:E129)</f>
        <v>0</v>
      </c>
      <c r="F136" s="238">
        <f>SUM(F123:F131)</f>
        <v>0</v>
      </c>
      <c r="G136" s="238">
        <f>SUM(G123:G131)</f>
        <v>0</v>
      </c>
      <c r="H136" s="238">
        <f>SUM(H123:H135)</f>
        <v>0</v>
      </c>
      <c r="I136" s="238">
        <f t="shared" ref="I136:O136" si="31">SUM(I123:I135)</f>
        <v>562340.99366518797</v>
      </c>
      <c r="J136" s="238">
        <f t="shared" si="31"/>
        <v>705387.70826582133</v>
      </c>
      <c r="K136" s="238">
        <f t="shared" si="31"/>
        <v>811292.48492660327</v>
      </c>
      <c r="L136" s="238">
        <f t="shared" si="31"/>
        <v>984639.43424766476</v>
      </c>
      <c r="M136" s="238">
        <f t="shared" si="31"/>
        <v>1178529.8557762483</v>
      </c>
      <c r="N136" s="238">
        <f t="shared" si="31"/>
        <v>1316243.005731313</v>
      </c>
      <c r="O136" s="238">
        <f t="shared" si="31"/>
        <v>1517716.4503567009</v>
      </c>
    </row>
    <row r="137" spans="2:18" s="254" customFormat="1">
      <c r="B137" s="252"/>
      <c r="C137" s="253"/>
      <c r="F137" s="255">
        <f>IFERROR(F136/F87, 0)</f>
        <v>0</v>
      </c>
      <c r="G137" s="255">
        <f>IFERROR(G136/G87, 0)</f>
        <v>0</v>
      </c>
      <c r="H137" s="255">
        <f>IFERROR(H136/H87, 0)</f>
        <v>0</v>
      </c>
      <c r="I137" s="255">
        <f t="shared" ref="I137:O137" si="32">I136/I87</f>
        <v>0.32311486643677284</v>
      </c>
      <c r="J137" s="255">
        <f t="shared" si="32"/>
        <v>0.22692114663882373</v>
      </c>
      <c r="K137" s="255">
        <f t="shared" si="32"/>
        <v>0.19768390800241481</v>
      </c>
      <c r="L137" s="255">
        <f t="shared" si="32"/>
        <v>0.16578433009129659</v>
      </c>
      <c r="M137" s="255">
        <f t="shared" si="32"/>
        <v>0.15086068144583575</v>
      </c>
      <c r="N137" s="255">
        <f t="shared" si="32"/>
        <v>0.13539216248900654</v>
      </c>
      <c r="O137" s="255">
        <f t="shared" si="32"/>
        <v>0.13007926820228891</v>
      </c>
    </row>
    <row r="138" spans="2:18">
      <c r="B138" s="244"/>
      <c r="D138"/>
      <c r="E138"/>
      <c r="F138" s="256"/>
      <c r="H138" s="257"/>
      <c r="I138" s="258"/>
      <c r="J138" s="258"/>
      <c r="K138" s="258"/>
      <c r="L138" s="258"/>
      <c r="M138" s="258"/>
      <c r="N138" s="258"/>
      <c r="O138" s="258"/>
    </row>
    <row r="139" spans="2:18">
      <c r="B139" s="242" t="s">
        <v>359</v>
      </c>
      <c r="E139" s="259"/>
      <c r="F139" s="260"/>
    </row>
    <row r="140" spans="2:18">
      <c r="B140" s="244" t="s">
        <v>360</v>
      </c>
      <c r="C140" s="166">
        <v>0</v>
      </c>
      <c r="D140" s="166">
        <f>C140*(1+INPUTS!D101)</f>
        <v>0</v>
      </c>
      <c r="E140" s="166">
        <f>D140*(1+INPUTS!E101)</f>
        <v>0</v>
      </c>
      <c r="F140" s="166">
        <f>E140*(1+INPUTS!F101)</f>
        <v>0</v>
      </c>
      <c r="G140" s="166">
        <f>F140*(1+INPUTS!G101)</f>
        <v>0</v>
      </c>
      <c r="H140" s="166">
        <f>G140*(1+INPUTS!H101)</f>
        <v>0</v>
      </c>
      <c r="I140" s="166">
        <v>0</v>
      </c>
      <c r="J140" s="166">
        <f>I140*(1+INPUTS!J101)</f>
        <v>0</v>
      </c>
      <c r="K140" s="166">
        <f>J140*(1+INPUTS!K101)</f>
        <v>0</v>
      </c>
      <c r="L140" s="166">
        <f>K140*(1+INPUTS!L101)</f>
        <v>0</v>
      </c>
      <c r="M140" s="166">
        <f>L140*(1+INPUTS!M101)</f>
        <v>0</v>
      </c>
      <c r="N140" s="166">
        <f>M140*(1+INPUTS!N101)</f>
        <v>0</v>
      </c>
      <c r="O140" s="166">
        <f>N140*(1+INPUTS!O101)</f>
        <v>0</v>
      </c>
      <c r="Q140" t="s">
        <v>351</v>
      </c>
      <c r="R140" s="261"/>
    </row>
    <row r="141" spans="2:18" ht="15.75">
      <c r="B141" s="244" t="s">
        <v>361</v>
      </c>
      <c r="C141" s="166">
        <v>0</v>
      </c>
      <c r="D141" s="166">
        <f>C141*(1+INPUTS!D102)</f>
        <v>0</v>
      </c>
      <c r="E141" s="166">
        <f>D141*(1+INPUTS!E102)</f>
        <v>0</v>
      </c>
      <c r="F141" s="166">
        <f>E141*(1+INPUTS!F102)</f>
        <v>0</v>
      </c>
      <c r="G141" s="166">
        <f>F141*(1+INPUTS!G102)</f>
        <v>0</v>
      </c>
      <c r="H141" s="166">
        <f>G141*(1+INPUTS!H102)</f>
        <v>0</v>
      </c>
      <c r="I141" s="228">
        <f>I$45*INPUTS!I90</f>
        <v>66882.857142857159</v>
      </c>
      <c r="J141" s="228">
        <f>J$45*INPUTS!J90</f>
        <v>98237.540571428588</v>
      </c>
      <c r="K141" s="228">
        <f>K$45*INPUTS!K90</f>
        <v>147520.04009142861</v>
      </c>
      <c r="L141" s="228">
        <f>L$45*INPUTS!L90</f>
        <v>198734.54457600004</v>
      </c>
      <c r="M141" s="228">
        <f>M$45*INPUTS!M90</f>
        <v>251938.62122391778</v>
      </c>
      <c r="N141" s="228">
        <f>N$45*INPUTS!N90</f>
        <v>304237.60397453798</v>
      </c>
      <c r="O141" s="228">
        <f>O$45*INPUTS!O90</f>
        <v>361540.60899498494</v>
      </c>
      <c r="Q141" t="s">
        <v>351</v>
      </c>
      <c r="R141" s="261"/>
    </row>
    <row r="142" spans="2:18" ht="15.75">
      <c r="B142" s="244" t="s">
        <v>362</v>
      </c>
      <c r="C142" s="166">
        <v>0</v>
      </c>
      <c r="D142" s="166">
        <f>C142*(1+INPUTS!D103)</f>
        <v>0</v>
      </c>
      <c r="E142" s="166">
        <f>D142*(1+INPUTS!E103)</f>
        <v>0</v>
      </c>
      <c r="F142" s="166">
        <f>E142*(1+INPUTS!F103)</f>
        <v>0</v>
      </c>
      <c r="G142" s="166">
        <f>F142*(1+INPUTS!G103)</f>
        <v>0</v>
      </c>
      <c r="H142" s="166">
        <f>G142*(1+INPUTS!H103)</f>
        <v>0</v>
      </c>
      <c r="I142" s="228">
        <f>INPUTS!I98*I45</f>
        <v>17855.865000000002</v>
      </c>
      <c r="J142" s="228">
        <f>J45*INPUTS!J98</f>
        <v>26226.694512000002</v>
      </c>
      <c r="K142" s="228">
        <f>K45*INPUTS!K98</f>
        <v>39383.752925519999</v>
      </c>
      <c r="L142" s="228">
        <f>L45*INPUTS!L98</f>
        <v>53056.602997775997</v>
      </c>
      <c r="M142" s="228">
        <f>M45*INPUTS!M98</f>
        <v>67260.613571752037</v>
      </c>
      <c r="N142" s="228">
        <f>N45*INPUTS!N98</f>
        <v>81222.989216646776</v>
      </c>
      <c r="O142" s="228">
        <f>O45*INPUTS!O98</f>
        <v>96521.29980696665</v>
      </c>
      <c r="Q142" t="s">
        <v>351</v>
      </c>
      <c r="R142" s="261"/>
    </row>
    <row r="143" spans="2:18" ht="15.75">
      <c r="B143" s="244" t="s">
        <v>363</v>
      </c>
      <c r="C143" s="166">
        <v>0</v>
      </c>
      <c r="D143" s="166">
        <f>C143*(1+INPUTS!D104)</f>
        <v>0</v>
      </c>
      <c r="E143" s="166">
        <f>D143*(1+INPUTS!E104)</f>
        <v>0</v>
      </c>
      <c r="F143" s="166">
        <f>E143*(1+INPUTS!F104)</f>
        <v>0</v>
      </c>
      <c r="G143" s="166">
        <f>F143*(1+INPUTS!G104)</f>
        <v>0</v>
      </c>
      <c r="H143" s="166">
        <f>G143*(1+INPUTS!H104)</f>
        <v>0</v>
      </c>
      <c r="I143" s="228">
        <f>I45*INPUTS!I92</f>
        <v>11558.525510204083</v>
      </c>
      <c r="J143" s="228">
        <f>J45*INPUTS!J92</f>
        <v>16977.162269387758</v>
      </c>
      <c r="K143" s="228">
        <f>K45*INPUTS!K92</f>
        <v>25494.038674530617</v>
      </c>
      <c r="L143" s="228">
        <f>L45*INPUTS!L92</f>
        <v>34344.799270971431</v>
      </c>
      <c r="M143" s="228">
        <f>M45*INPUTS!M92</f>
        <v>43539.392675800074</v>
      </c>
      <c r="N143" s="228">
        <f>N45*INPUTS!N92</f>
        <v>52577.570051948918</v>
      </c>
      <c r="O143" s="228">
        <f>O45*INPUTS!O92</f>
        <v>62480.529848141232</v>
      </c>
      <c r="Q143" t="s">
        <v>351</v>
      </c>
      <c r="R143" s="261"/>
    </row>
    <row r="144" spans="2:18" ht="15.75">
      <c r="B144" s="244" t="s">
        <v>364</v>
      </c>
      <c r="C144" s="166">
        <v>0</v>
      </c>
      <c r="D144" s="166">
        <f>C144*(1+INPUTS!D105)</f>
        <v>0</v>
      </c>
      <c r="E144" s="166">
        <f>D144*(1+INPUTS!E105)</f>
        <v>0</v>
      </c>
      <c r="F144" s="166">
        <f>E144*(1+INPUTS!F105)</f>
        <v>0</v>
      </c>
      <c r="G144" s="166">
        <f>F144*(1+INPUTS!G105)</f>
        <v>0</v>
      </c>
      <c r="H144" s="166">
        <f>G144*(1+INPUTS!H105)</f>
        <v>0</v>
      </c>
      <c r="I144" s="228">
        <f>I45*INPUTS!I94</f>
        <v>37702.413312244898</v>
      </c>
      <c r="J144" s="228">
        <f>J45*INPUTS!J94</f>
        <v>55377.304673025305</v>
      </c>
      <c r="K144" s="228">
        <f>K45*INPUTS!K94</f>
        <v>83158.252517326342</v>
      </c>
      <c r="L144" s="228">
        <f>L45*INPUTS!L94</f>
        <v>112028.28735353021</v>
      </c>
      <c r="M144" s="228">
        <f>M45*INPUTS!M94</f>
        <v>142019.8602821753</v>
      </c>
      <c r="N144" s="228">
        <f>N45*INPUTS!N94</f>
        <v>171501.22438213031</v>
      </c>
      <c r="O144" s="228">
        <f>O45*INPUTS!O94</f>
        <v>203803.39674148304</v>
      </c>
      <c r="Q144" t="s">
        <v>351</v>
      </c>
      <c r="R144" s="261"/>
    </row>
    <row r="145" spans="2:18" ht="15.75">
      <c r="B145" s="244" t="s">
        <v>365</v>
      </c>
      <c r="C145" s="166">
        <v>0</v>
      </c>
      <c r="D145" s="166">
        <f>C145*(1+INPUTS!D106)</f>
        <v>0</v>
      </c>
      <c r="E145" s="166">
        <f>D145*(1+INPUTS!E106)</f>
        <v>0</v>
      </c>
      <c r="F145" s="166">
        <f>E145*(1+INPUTS!F106)</f>
        <v>0</v>
      </c>
      <c r="G145" s="166">
        <f>F145*(1+INPUTS!G106)</f>
        <v>0</v>
      </c>
      <c r="H145" s="166">
        <f>G145*(1+INPUTS!H106)</f>
        <v>0</v>
      </c>
      <c r="I145" s="228">
        <f>I45*INPUTS!I96</f>
        <v>3848.4183673469397</v>
      </c>
      <c r="J145" s="228">
        <f>J45*INPUTS!J96</f>
        <v>5652.5568979591844</v>
      </c>
      <c r="K145" s="228">
        <f>K45*INPUTS!K96</f>
        <v>8488.2562751020432</v>
      </c>
      <c r="L145" s="228">
        <f>L45*INPUTS!L96</f>
        <v>11435.12260457143</v>
      </c>
      <c r="M145" s="228">
        <f>M45*INPUTS!M96</f>
        <v>14496.468284709554</v>
      </c>
      <c r="N145" s="228">
        <f>N45*INPUTS!N96</f>
        <v>17505.735149328571</v>
      </c>
      <c r="O145" s="228">
        <f>O45*INPUTS!O96</f>
        <v>20802.931866774925</v>
      </c>
      <c r="Q145" t="s">
        <v>351</v>
      </c>
      <c r="R145" s="261"/>
    </row>
    <row r="146" spans="2:18">
      <c r="B146" s="244" t="s">
        <v>366</v>
      </c>
      <c r="C146" s="166">
        <v>0</v>
      </c>
      <c r="D146" s="166">
        <f>C146*(1+INPUTS!D107)</f>
        <v>0</v>
      </c>
      <c r="E146" s="166">
        <f>D146*(1+INPUTS!E107)</f>
        <v>0</v>
      </c>
      <c r="F146" s="166">
        <f>E146*(1+INPUTS!F107)</f>
        <v>0</v>
      </c>
      <c r="G146" s="166">
        <f>F146*(1+INPUTS!G107)</f>
        <v>0</v>
      </c>
      <c r="H146" s="166">
        <f>G146*(1+INPUTS!H107)</f>
        <v>0</v>
      </c>
      <c r="I146" s="166">
        <v>0</v>
      </c>
      <c r="J146" s="166">
        <f>I146*(1+INPUTS!J107)</f>
        <v>0</v>
      </c>
      <c r="K146" s="166">
        <f>J146*(1+INPUTS!K107)</f>
        <v>0</v>
      </c>
      <c r="L146" s="166">
        <f>K146*(1+INPUTS!L107)</f>
        <v>0</v>
      </c>
      <c r="M146" s="166">
        <f>L146*(1+INPUTS!M107)</f>
        <v>0</v>
      </c>
      <c r="N146" s="166">
        <f>M146*(1+INPUTS!N107)</f>
        <v>0</v>
      </c>
      <c r="O146" s="166">
        <f>N146*(1+INPUTS!O107)</f>
        <v>0</v>
      </c>
      <c r="Q146" t="s">
        <v>351</v>
      </c>
      <c r="R146" s="261"/>
    </row>
    <row r="147" spans="2:18">
      <c r="B147" s="244" t="s">
        <v>367</v>
      </c>
      <c r="C147" s="166">
        <v>0</v>
      </c>
      <c r="D147" s="166">
        <f>C147*(1+INPUTS!D108)</f>
        <v>0</v>
      </c>
      <c r="E147" s="166">
        <f>D147*(1+INPUTS!E108)</f>
        <v>0</v>
      </c>
      <c r="F147" s="166">
        <f>E147*(1+INPUTS!F108)</f>
        <v>0</v>
      </c>
      <c r="G147" s="166">
        <f>F147*(1+INPUTS!G108)</f>
        <v>0</v>
      </c>
      <c r="H147" s="166">
        <f>G147*(1+INPUTS!H108)</f>
        <v>0</v>
      </c>
      <c r="I147" s="166">
        <v>0</v>
      </c>
      <c r="J147" s="166">
        <f>I147*(1+INPUTS!J108)</f>
        <v>0</v>
      </c>
      <c r="K147" s="166">
        <f>J147*(1+INPUTS!K108)</f>
        <v>0</v>
      </c>
      <c r="L147" s="166">
        <f>K147*(1+INPUTS!L108)</f>
        <v>0</v>
      </c>
      <c r="M147" s="166">
        <f>L147*(1+INPUTS!M108)</f>
        <v>0</v>
      </c>
      <c r="N147" s="166">
        <f>M147*(1+INPUTS!N108)</f>
        <v>0</v>
      </c>
      <c r="O147" s="166">
        <f>N147*(1+INPUTS!O108)</f>
        <v>0</v>
      </c>
      <c r="Q147" t="s">
        <v>351</v>
      </c>
      <c r="R147" s="261"/>
    </row>
    <row r="148" spans="2:18">
      <c r="B148" s="244" t="str">
        <f>[2]CONSOL!B148</f>
        <v>Additional expenses for AFR</v>
      </c>
      <c r="G148" s="166"/>
      <c r="H148" s="166">
        <v>0</v>
      </c>
      <c r="I148" s="166">
        <v>0</v>
      </c>
      <c r="J148" s="166">
        <v>0</v>
      </c>
      <c r="K148" s="166">
        <v>0</v>
      </c>
      <c r="L148" s="166">
        <v>0</v>
      </c>
      <c r="M148" s="166">
        <v>0</v>
      </c>
      <c r="N148" s="166">
        <v>0</v>
      </c>
      <c r="O148" s="166">
        <v>0</v>
      </c>
      <c r="R148" s="261"/>
    </row>
    <row r="149" spans="2:18">
      <c r="B149" s="242" t="s">
        <v>368</v>
      </c>
      <c r="C149" s="238">
        <f>SUM(C140:C147)</f>
        <v>0</v>
      </c>
      <c r="D149" s="238">
        <f>SUM(D140:D147)</f>
        <v>0</v>
      </c>
      <c r="E149" s="238">
        <f t="shared" ref="E149:F149" si="33">SUM(E140:E147)</f>
        <v>0</v>
      </c>
      <c r="F149" s="238">
        <f t="shared" si="33"/>
        <v>0</v>
      </c>
      <c r="G149" s="238">
        <f>SUM(G140:G147)</f>
        <v>0</v>
      </c>
      <c r="H149" s="238">
        <f>SUM(H140:H148)</f>
        <v>0</v>
      </c>
      <c r="I149" s="238">
        <f t="shared" ref="I149:O149" si="34">SUM(I140:I148)</f>
        <v>137848.07933265311</v>
      </c>
      <c r="J149" s="238">
        <f t="shared" si="34"/>
        <v>202471.25892380084</v>
      </c>
      <c r="K149" s="238">
        <f t="shared" si="34"/>
        <v>304044.34048390761</v>
      </c>
      <c r="L149" s="238">
        <f t="shared" si="34"/>
        <v>409599.35680284916</v>
      </c>
      <c r="M149" s="238">
        <f t="shared" si="34"/>
        <v>519254.95603835472</v>
      </c>
      <c r="N149" s="238">
        <f t="shared" si="34"/>
        <v>627045.1227745926</v>
      </c>
      <c r="O149" s="238">
        <f t="shared" si="34"/>
        <v>745148.76725835074</v>
      </c>
      <c r="R149" s="261"/>
    </row>
    <row r="150" spans="2:18">
      <c r="B150" s="244"/>
      <c r="C150" s="262"/>
      <c r="D150" s="262"/>
      <c r="E150" s="262"/>
      <c r="F150" s="262"/>
      <c r="G150" s="263"/>
      <c r="H150" s="263"/>
      <c r="I150" s="263"/>
      <c r="J150" s="263"/>
      <c r="K150" s="263"/>
      <c r="L150" s="263"/>
      <c r="M150" s="263"/>
      <c r="N150" s="263"/>
      <c r="O150" s="263"/>
      <c r="R150" s="261"/>
    </row>
    <row r="151" spans="2:18">
      <c r="B151" s="244" t="s">
        <v>369</v>
      </c>
      <c r="G151" s="166"/>
      <c r="H151" s="166">
        <f>INPUTS!H123*'KNOX-BOYS'!H86</f>
        <v>40000</v>
      </c>
      <c r="I151" s="166">
        <f>INPUTS!I123*'KNOX-BOYS'!I86</f>
        <v>250704.15366518797</v>
      </c>
      <c r="J151" s="166">
        <f>INPUTS!J123*'KNOX-BOYS'!J86</f>
        <v>387518.13146582135</v>
      </c>
      <c r="K151" s="166">
        <f>INPUTS!K123*'KNOX-BOYS'!K86</f>
        <v>487065.51659060328</v>
      </c>
      <c r="L151" s="166">
        <f>INPUTS!L123*'KNOX-BOYS'!L86</f>
        <v>653927.92654494476</v>
      </c>
      <c r="M151" s="166">
        <f>INPUTS!M123*'KNOX-BOYS'!M86</f>
        <v>841204.11791947379</v>
      </c>
      <c r="N151" s="166">
        <f>INPUTS!N123*'KNOX-BOYS'!N86</f>
        <v>972170.75311740302</v>
      </c>
      <c r="O151" s="166">
        <f>INPUTS!O123*'KNOX-BOYS'!O86</f>
        <v>1166762.7526905127</v>
      </c>
      <c r="R151" s="261"/>
    </row>
    <row r="152" spans="2:18">
      <c r="B152" s="244"/>
      <c r="C152" s="262"/>
      <c r="D152" s="262"/>
      <c r="E152" s="262"/>
      <c r="F152" s="262"/>
      <c r="G152" s="263"/>
      <c r="H152" s="263"/>
      <c r="I152" s="263"/>
      <c r="J152" s="263"/>
      <c r="K152" s="263"/>
      <c r="L152" s="263"/>
      <c r="M152" s="263"/>
      <c r="N152" s="263"/>
      <c r="O152" s="263"/>
      <c r="R152" s="264"/>
    </row>
    <row r="153" spans="2:18" ht="15.75" thickBot="1">
      <c r="B153" s="265" t="s">
        <v>370</v>
      </c>
      <c r="C153" s="266">
        <v>0</v>
      </c>
      <c r="D153" s="266">
        <v>0</v>
      </c>
      <c r="E153" s="266">
        <v>0</v>
      </c>
      <c r="F153" s="266">
        <v>0</v>
      </c>
      <c r="G153" s="266">
        <v>0</v>
      </c>
      <c r="H153" s="266">
        <v>0</v>
      </c>
      <c r="I153" s="266">
        <v>0</v>
      </c>
      <c r="J153" s="266">
        <v>0</v>
      </c>
      <c r="K153" s="266">
        <v>0</v>
      </c>
      <c r="L153" s="266">
        <v>0</v>
      </c>
      <c r="M153" s="266">
        <v>0</v>
      </c>
      <c r="N153" s="266">
        <v>0</v>
      </c>
      <c r="O153" s="266">
        <v>0</v>
      </c>
    </row>
    <row r="154" spans="2:18">
      <c r="B154" s="242" t="s">
        <v>182</v>
      </c>
      <c r="C154" s="239">
        <f t="shared" ref="C154:O154" si="35">SUM(C150:C153,C149,C136,C120,C111,C93)+C116</f>
        <v>0</v>
      </c>
      <c r="D154" s="239">
        <f t="shared" si="35"/>
        <v>0</v>
      </c>
      <c r="E154" s="239">
        <f t="shared" si="35"/>
        <v>0</v>
      </c>
      <c r="F154" s="239">
        <f t="shared" si="35"/>
        <v>0</v>
      </c>
      <c r="G154" s="239">
        <f t="shared" si="35"/>
        <v>0</v>
      </c>
      <c r="H154" s="239">
        <f t="shared" si="35"/>
        <v>343896.73641807999</v>
      </c>
      <c r="I154" s="239">
        <f t="shared" si="35"/>
        <v>2334373.3160001882</v>
      </c>
      <c r="J154" s="239">
        <f t="shared" si="35"/>
        <v>3434462.0466009784</v>
      </c>
      <c r="K154" s="239">
        <f t="shared" si="35"/>
        <v>4802080.9142398154</v>
      </c>
      <c r="L154" s="239">
        <f t="shared" si="35"/>
        <v>6369034.3786931718</v>
      </c>
      <c r="M154" s="239">
        <f t="shared" si="35"/>
        <v>8020528.7531244289</v>
      </c>
      <c r="N154" s="239">
        <f t="shared" si="35"/>
        <v>9559813.7313921601</v>
      </c>
      <c r="O154" s="239">
        <f t="shared" si="35"/>
        <v>11328782.615660934</v>
      </c>
    </row>
    <row r="155" spans="2:18">
      <c r="B155" s="235" t="s">
        <v>371</v>
      </c>
      <c r="C155" s="236">
        <f t="shared" ref="C155:O155" si="36">IFERROR(C154/C31,0)</f>
        <v>0</v>
      </c>
      <c r="D155" s="236">
        <f t="shared" si="36"/>
        <v>0</v>
      </c>
      <c r="E155" s="236">
        <f t="shared" si="36"/>
        <v>0</v>
      </c>
      <c r="F155" s="236">
        <f t="shared" si="36"/>
        <v>0</v>
      </c>
      <c r="G155" s="236">
        <f t="shared" si="36"/>
        <v>0</v>
      </c>
      <c r="H155" s="236">
        <f t="shared" si="36"/>
        <v>0</v>
      </c>
      <c r="I155" s="236">
        <f t="shared" si="36"/>
        <v>22232.126819049412</v>
      </c>
      <c r="J155" s="236">
        <f t="shared" si="36"/>
        <v>16591.6040898598</v>
      </c>
      <c r="K155" s="236">
        <f t="shared" si="36"/>
        <v>15693.074883136651</v>
      </c>
      <c r="L155" s="236">
        <f t="shared" si="36"/>
        <v>15572.211194848831</v>
      </c>
      <c r="M155" s="236">
        <f t="shared" si="36"/>
        <v>15757.423876472356</v>
      </c>
      <c r="N155" s="236">
        <f t="shared" si="36"/>
        <v>15775.270183815446</v>
      </c>
      <c r="O155" s="236">
        <f t="shared" si="36"/>
        <v>16183.975165229906</v>
      </c>
    </row>
    <row r="156" spans="2:18">
      <c r="B156" s="235"/>
      <c r="C156" s="236"/>
      <c r="D156" s="236"/>
      <c r="E156" s="236"/>
      <c r="F156" s="236"/>
      <c r="G156" s="236"/>
      <c r="H156" s="236"/>
      <c r="I156" s="236"/>
      <c r="J156" s="236"/>
      <c r="K156" s="236"/>
      <c r="L156" s="236"/>
      <c r="M156" s="236"/>
      <c r="N156" s="236"/>
      <c r="O156" s="236"/>
    </row>
    <row r="157" spans="2:18" ht="15.75" thickBot="1">
      <c r="B157" s="267" t="s">
        <v>281</v>
      </c>
      <c r="C157" s="268" t="e">
        <f t="shared" ref="C157:O157" si="37">C86-C154</f>
        <v>#REF!</v>
      </c>
      <c r="D157" s="269" t="e">
        <f t="shared" si="37"/>
        <v>#REF!</v>
      </c>
      <c r="E157" s="269" t="e">
        <f t="shared" si="37"/>
        <v>#REF!</v>
      </c>
      <c r="F157" s="269" t="e">
        <f t="shared" si="37"/>
        <v>#REF!</v>
      </c>
      <c r="G157" s="269">
        <f t="shared" si="37"/>
        <v>0</v>
      </c>
      <c r="H157" s="269">
        <f t="shared" si="37"/>
        <v>56103.263581920008</v>
      </c>
      <c r="I157" s="269">
        <f t="shared" si="37"/>
        <v>172668.22065169131</v>
      </c>
      <c r="J157" s="269">
        <f t="shared" si="37"/>
        <v>440719.26805723505</v>
      </c>
      <c r="K157" s="269">
        <f t="shared" si="37"/>
        <v>68574.251666217111</v>
      </c>
      <c r="L157" s="269">
        <f t="shared" si="37"/>
        <v>170244.88675627578</v>
      </c>
      <c r="M157" s="269">
        <f t="shared" si="37"/>
        <v>391512.42607030831</v>
      </c>
      <c r="N157" s="269">
        <f t="shared" si="37"/>
        <v>161893.7997818701</v>
      </c>
      <c r="O157" s="269">
        <f t="shared" si="37"/>
        <v>338844.91124419309</v>
      </c>
    </row>
    <row r="158" spans="2:18" ht="15.75" thickTop="1">
      <c r="F158"/>
    </row>
    <row r="159" spans="2:18">
      <c r="B159" t="s">
        <v>372</v>
      </c>
      <c r="F159"/>
    </row>
    <row r="160" spans="2:18">
      <c r="B160" t="s">
        <v>373</v>
      </c>
      <c r="C160" s="166">
        <f t="shared" ref="C160:O160" si="38">SUM(C64,C65,C66)</f>
        <v>0</v>
      </c>
      <c r="D160" s="166">
        <f t="shared" si="38"/>
        <v>0</v>
      </c>
      <c r="E160" s="166">
        <f t="shared" si="38"/>
        <v>0</v>
      </c>
      <c r="F160" s="166">
        <f t="shared" si="38"/>
        <v>0</v>
      </c>
      <c r="G160" s="166">
        <f t="shared" si="38"/>
        <v>0</v>
      </c>
      <c r="H160" s="166">
        <f t="shared" si="38"/>
        <v>0</v>
      </c>
      <c r="I160" s="166">
        <f t="shared" si="38"/>
        <v>766666.66666666663</v>
      </c>
      <c r="J160" s="166">
        <f t="shared" si="38"/>
        <v>766666.66666666663</v>
      </c>
      <c r="K160" s="166">
        <f t="shared" si="38"/>
        <v>766666.66666666663</v>
      </c>
      <c r="L160" s="166">
        <f t="shared" si="38"/>
        <v>600000</v>
      </c>
      <c r="M160" s="166">
        <f t="shared" si="38"/>
        <v>600000</v>
      </c>
      <c r="N160" s="166">
        <f t="shared" si="38"/>
        <v>0</v>
      </c>
      <c r="O160" s="166">
        <f t="shared" si="38"/>
        <v>0</v>
      </c>
    </row>
    <row r="161" spans="2:15">
      <c r="B161" t="s">
        <v>374</v>
      </c>
      <c r="C161" s="261">
        <f t="shared" ref="C161:O161" si="39">C78</f>
        <v>0</v>
      </c>
      <c r="D161" s="261">
        <f t="shared" si="39"/>
        <v>0</v>
      </c>
      <c r="E161" s="261">
        <f t="shared" si="39"/>
        <v>0</v>
      </c>
      <c r="F161" s="261">
        <f t="shared" si="39"/>
        <v>0</v>
      </c>
      <c r="G161" s="261">
        <f t="shared" si="39"/>
        <v>0</v>
      </c>
      <c r="H161" s="261">
        <f t="shared" si="39"/>
        <v>400000</v>
      </c>
      <c r="I161" s="261">
        <f t="shared" si="39"/>
        <v>400000</v>
      </c>
      <c r="J161" s="261">
        <f t="shared" si="39"/>
        <v>400000</v>
      </c>
      <c r="K161" s="261">
        <f t="shared" si="39"/>
        <v>0</v>
      </c>
      <c r="L161" s="261">
        <f t="shared" si="39"/>
        <v>0</v>
      </c>
      <c r="M161" s="261">
        <f t="shared" si="39"/>
        <v>0</v>
      </c>
      <c r="N161" s="261">
        <f t="shared" si="39"/>
        <v>0</v>
      </c>
      <c r="O161" s="261">
        <f t="shared" si="39"/>
        <v>0</v>
      </c>
    </row>
    <row r="162" spans="2:15">
      <c r="B162" t="s">
        <v>375</v>
      </c>
      <c r="C162" s="166">
        <f t="shared" ref="C162:O162" si="40">SUM(C79,C83)</f>
        <v>0</v>
      </c>
      <c r="D162" s="166">
        <f t="shared" si="40"/>
        <v>0</v>
      </c>
      <c r="E162" s="166">
        <f t="shared" si="40"/>
        <v>0</v>
      </c>
      <c r="F162" s="166">
        <f t="shared" si="40"/>
        <v>0</v>
      </c>
      <c r="G162" s="166">
        <f t="shared" si="40"/>
        <v>0</v>
      </c>
      <c r="H162" s="166">
        <f t="shared" si="40"/>
        <v>0</v>
      </c>
      <c r="I162" s="166">
        <f t="shared" si="40"/>
        <v>0</v>
      </c>
      <c r="J162" s="166">
        <f t="shared" si="40"/>
        <v>0</v>
      </c>
      <c r="K162" s="166">
        <f t="shared" si="40"/>
        <v>0</v>
      </c>
      <c r="L162" s="166">
        <f t="shared" si="40"/>
        <v>0</v>
      </c>
      <c r="M162" s="166">
        <f t="shared" si="40"/>
        <v>0</v>
      </c>
      <c r="N162" s="166">
        <f t="shared" si="40"/>
        <v>0</v>
      </c>
      <c r="O162" s="166">
        <f t="shared" si="40"/>
        <v>0</v>
      </c>
    </row>
    <row r="163" spans="2:15">
      <c r="B163" t="s">
        <v>376</v>
      </c>
      <c r="F163"/>
    </row>
    <row r="164" spans="2:15">
      <c r="F164"/>
    </row>
    <row r="165" spans="2:15" ht="15.75" thickBot="1">
      <c r="B165" s="267" t="s">
        <v>377</v>
      </c>
      <c r="C165" s="270" t="e">
        <f>C157-SUM(C160:C162)</f>
        <v>#REF!</v>
      </c>
      <c r="D165" s="270" t="e">
        <f t="shared" ref="D165:N165" si="41">D157-SUM(D160:D162)</f>
        <v>#REF!</v>
      </c>
      <c r="E165" s="270" t="e">
        <f t="shared" si="41"/>
        <v>#REF!</v>
      </c>
      <c r="F165" s="270" t="e">
        <f t="shared" si="41"/>
        <v>#REF!</v>
      </c>
      <c r="G165" s="270">
        <f t="shared" si="41"/>
        <v>0</v>
      </c>
      <c r="H165" s="271">
        <f t="shared" si="41"/>
        <v>-343896.73641807999</v>
      </c>
      <c r="I165" s="271">
        <f t="shared" si="41"/>
        <v>-993998.4460149752</v>
      </c>
      <c r="J165" s="271">
        <f t="shared" si="41"/>
        <v>-725947.39860943146</v>
      </c>
      <c r="K165" s="271">
        <f t="shared" si="41"/>
        <v>-698092.41500044952</v>
      </c>
      <c r="L165" s="271">
        <f t="shared" si="41"/>
        <v>-429755.11324372422</v>
      </c>
      <c r="M165" s="271">
        <f t="shared" si="41"/>
        <v>-208487.57392969169</v>
      </c>
      <c r="N165" s="271">
        <f t="shared" si="41"/>
        <v>161893.7997818701</v>
      </c>
      <c r="O165" s="271">
        <f t="shared" ref="O165" si="42">O157-SUM(O160:O162)</f>
        <v>338844.91124419309</v>
      </c>
    </row>
    <row r="166" spans="2:15" ht="15.75" thickTop="1">
      <c r="B166" s="254" t="s">
        <v>378</v>
      </c>
      <c r="C166"/>
      <c r="D166"/>
      <c r="E166"/>
      <c r="F166"/>
    </row>
    <row r="167" spans="2:15">
      <c r="C167"/>
      <c r="D167"/>
      <c r="E167"/>
      <c r="F167"/>
    </row>
    <row r="168" spans="2:15">
      <c r="C168"/>
      <c r="D168"/>
      <c r="E168"/>
      <c r="F168"/>
    </row>
    <row r="169" spans="2:15">
      <c r="C169"/>
      <c r="D169"/>
      <c r="E169"/>
      <c r="F169"/>
    </row>
    <row r="170" spans="2:15">
      <c r="C170"/>
      <c r="D170"/>
      <c r="E170"/>
      <c r="F170"/>
    </row>
    <row r="171" spans="2:15">
      <c r="C171"/>
      <c r="D171"/>
      <c r="E171"/>
      <c r="F171"/>
    </row>
    <row r="172" spans="2:15">
      <c r="C172"/>
      <c r="D172"/>
      <c r="E172"/>
      <c r="F172"/>
    </row>
    <row r="173" spans="2:15">
      <c r="C173"/>
      <c r="D173" s="264"/>
      <c r="E173"/>
      <c r="F173"/>
    </row>
    <row r="174" spans="2:15">
      <c r="F174" s="272"/>
      <c r="G174" s="251"/>
    </row>
    <row r="175" spans="2:15">
      <c r="F175" s="272"/>
      <c r="G175" s="251"/>
    </row>
    <row r="184" spans="3:6">
      <c r="F184"/>
    </row>
    <row r="185" spans="3:6">
      <c r="F185"/>
    </row>
    <row r="186" spans="3:6">
      <c r="C186"/>
      <c r="D186"/>
      <c r="E186"/>
      <c r="F186"/>
    </row>
    <row r="187" spans="3:6">
      <c r="C187"/>
      <c r="D187"/>
      <c r="E187"/>
      <c r="F187"/>
    </row>
    <row r="188" spans="3:6">
      <c r="F188"/>
    </row>
    <row r="189" spans="3:6">
      <c r="F189"/>
    </row>
    <row r="190" spans="3:6">
      <c r="F190"/>
    </row>
    <row r="191" spans="3:6">
      <c r="F191"/>
    </row>
    <row r="192" spans="3:6">
      <c r="F192"/>
    </row>
    <row r="193" spans="6:6">
      <c r="F193"/>
    </row>
  </sheetData>
  <conditionalFormatting sqref="B8:O10 B14:O14">
    <cfRule type="expression" dxfId="22" priority="15">
      <formula>MOD(ROW(),2)=0</formula>
    </cfRule>
  </conditionalFormatting>
  <conditionalFormatting sqref="L14">
    <cfRule type="expression" dxfId="21" priority="14">
      <formula>MOD(ROW(),2)=0</formula>
    </cfRule>
  </conditionalFormatting>
  <conditionalFormatting sqref="K14">
    <cfRule type="expression" dxfId="20" priority="13">
      <formula>MOD(ROW(),2)=0</formula>
    </cfRule>
  </conditionalFormatting>
  <conditionalFormatting sqref="J14">
    <cfRule type="expression" dxfId="19" priority="12">
      <formula>MOD(ROW(),2)=0</formula>
    </cfRule>
  </conditionalFormatting>
  <conditionalFormatting sqref="I14">
    <cfRule type="expression" dxfId="18" priority="11">
      <formula>MOD(ROW(),2)=0</formula>
    </cfRule>
  </conditionalFormatting>
  <conditionalFormatting sqref="G14:H14">
    <cfRule type="expression" dxfId="17" priority="10">
      <formula>MOD(ROW(),2)=0</formula>
    </cfRule>
  </conditionalFormatting>
  <conditionalFormatting sqref="F14">
    <cfRule type="expression" dxfId="16" priority="9">
      <formula>MOD(ROW(),2)=0</formula>
    </cfRule>
  </conditionalFormatting>
  <conditionalFormatting sqref="B17:O19">
    <cfRule type="expression" dxfId="15" priority="22">
      <formula>MOD(ROW(),2)=0</formula>
    </cfRule>
  </conditionalFormatting>
  <conditionalFormatting sqref="I18:L19 D12:L12 B13:O16">
    <cfRule type="expression" dxfId="14" priority="23">
      <formula>MOD(ROW(),2)=0</formula>
    </cfRule>
  </conditionalFormatting>
  <conditionalFormatting sqref="B15:O15">
    <cfRule type="expression" dxfId="13" priority="21">
      <formula>MOD(ROW(),2)=0</formula>
    </cfRule>
  </conditionalFormatting>
  <conditionalFormatting sqref="B16:O16">
    <cfRule type="expression" dxfId="12" priority="20">
      <formula>MOD(ROW(),2)=0</formula>
    </cfRule>
  </conditionalFormatting>
  <conditionalFormatting sqref="I15:L16 C15:H15 M15:O15">
    <cfRule type="expression" dxfId="11" priority="19">
      <formula>MOD(ROW(),2)=0</formula>
    </cfRule>
  </conditionalFormatting>
  <conditionalFormatting sqref="B18:O19">
    <cfRule type="expression" dxfId="10" priority="18">
      <formula>MOD(ROW(),2)=0</formula>
    </cfRule>
  </conditionalFormatting>
  <conditionalFormatting sqref="B12:O12">
    <cfRule type="expression" dxfId="9" priority="17">
      <formula>MOD(ROW(),2)=0</formula>
    </cfRule>
  </conditionalFormatting>
  <conditionalFormatting sqref="D13:L19 C13:C16 M13:O16">
    <cfRule type="expression" dxfId="8" priority="16">
      <formula>MOD(ROW(),2)=0</formula>
    </cfRule>
  </conditionalFormatting>
  <conditionalFormatting sqref="M14:O14">
    <cfRule type="expression" dxfId="7" priority="3">
      <formula>MOD(ROW(),2)=0</formula>
    </cfRule>
  </conditionalFormatting>
  <conditionalFormatting sqref="M8:O9">
    <cfRule type="expression" dxfId="6" priority="4">
      <formula>MOD(ROW(),2)=0</formula>
    </cfRule>
  </conditionalFormatting>
  <conditionalFormatting sqref="M10:O10">
    <cfRule type="expression" dxfId="5" priority="7">
      <formula>MOD(ROW(),2)=0</formula>
    </cfRule>
  </conditionalFormatting>
  <conditionalFormatting sqref="M18:O19 M12:O12">
    <cfRule type="expression" dxfId="4" priority="8">
      <formula>MOD(ROW(),2)=0</formula>
    </cfRule>
  </conditionalFormatting>
  <conditionalFormatting sqref="M15:O16">
    <cfRule type="expression" dxfId="3" priority="6">
      <formula>MOD(ROW(),2)=0</formula>
    </cfRule>
  </conditionalFormatting>
  <conditionalFormatting sqref="M13:O19">
    <cfRule type="expression" dxfId="2" priority="5">
      <formula>MOD(ROW(),2)=0</formula>
    </cfRule>
  </conditionalFormatting>
  <conditionalFormatting sqref="C13:O13">
    <cfRule type="expression" dxfId="1" priority="2">
      <formula>MOD(ROW(),2)=0</formula>
    </cfRule>
  </conditionalFormatting>
  <conditionalFormatting sqref="C13:O13">
    <cfRule type="expression" dxfId="0" priority="1">
      <formula>MOD(ROW(),2)=0</formula>
    </cfRule>
  </conditionalFormatting>
  <pageMargins left="0.25" right="0.25" top="0.75" bottom="0.75" header="0.3" footer="0.3"/>
  <pageSetup scale="54" fitToHeight="0" orientation="landscape" horizontalDpi="1200" verticalDpi="1200" r:id="rId1"/>
  <colBreaks count="1" manualBreakCount="1">
    <brk id="20" max="1048575" man="1"/>
  </col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pageSetUpPr fitToPage="1"/>
  </sheetPr>
  <dimension ref="A1:M202"/>
  <sheetViews>
    <sheetView showGridLines="0" topLeftCell="A178" zoomScale="75" zoomScaleNormal="75" zoomScaleSheetLayoutView="100" workbookViewId="0">
      <selection activeCell="L202" sqref="L202"/>
    </sheetView>
  </sheetViews>
  <sheetFormatPr defaultColWidth="8.7109375" defaultRowHeight="15"/>
  <cols>
    <col min="1" max="1" width="4.7109375" customWidth="1"/>
    <col min="2" max="2" width="42.28515625" bestFit="1" customWidth="1"/>
    <col min="3" max="3" width="23.28515625" customWidth="1"/>
    <col min="4" max="4" width="3.28515625" customWidth="1"/>
    <col min="5" max="6" width="15.42578125" customWidth="1"/>
    <col min="7" max="7" width="16.7109375" customWidth="1"/>
    <col min="8" max="8" width="16.28515625" customWidth="1"/>
    <col min="9" max="9" width="17" customWidth="1"/>
    <col min="10" max="10" width="95.28515625" bestFit="1" customWidth="1"/>
    <col min="11" max="11" width="4.7109375" customWidth="1"/>
    <col min="12" max="12" width="13.28515625" bestFit="1" customWidth="1"/>
    <col min="13" max="13" width="11.7109375" bestFit="1" customWidth="1"/>
  </cols>
  <sheetData>
    <row r="1" spans="1:11" ht="15.75" thickBot="1"/>
    <row r="2" spans="1:11">
      <c r="B2" s="5"/>
      <c r="C2" s="6"/>
      <c r="D2" s="6"/>
      <c r="E2" s="6"/>
      <c r="F2" s="6"/>
      <c r="G2" s="6"/>
      <c r="H2" s="6"/>
      <c r="I2" s="6"/>
      <c r="J2" s="6"/>
      <c r="K2" s="7"/>
    </row>
    <row r="3" spans="1:11">
      <c r="B3" s="797" t="str">
        <f>IF('1) Proposed School Information'!E12="","ENTER SCHOOL NAME ON PROPOSED SCHOOL INFO SHEET",'1) Proposed School Information'!E12)</f>
        <v>Knoxville Prep</v>
      </c>
      <c r="C3" s="784"/>
      <c r="D3" s="784"/>
      <c r="E3" s="784"/>
      <c r="F3" s="784"/>
      <c r="G3" s="784"/>
      <c r="H3" s="784"/>
      <c r="I3" s="784"/>
      <c r="J3" s="784"/>
      <c r="K3" s="798"/>
    </row>
    <row r="4" spans="1:11">
      <c r="B4" s="797" t="s">
        <v>14</v>
      </c>
      <c r="C4" s="784"/>
      <c r="D4" s="784"/>
      <c r="E4" s="784"/>
      <c r="F4" s="784"/>
      <c r="G4" s="784"/>
      <c r="H4" s="784"/>
      <c r="I4" s="784"/>
      <c r="J4" s="784"/>
      <c r="K4" s="798"/>
    </row>
    <row r="5" spans="1:11">
      <c r="B5" s="797" t="s">
        <v>250</v>
      </c>
      <c r="C5" s="784"/>
      <c r="D5" s="784"/>
      <c r="E5" s="784"/>
      <c r="F5" s="784"/>
      <c r="G5" s="784"/>
      <c r="H5" s="784"/>
      <c r="I5" s="784"/>
      <c r="J5" s="784"/>
      <c r="K5" s="798"/>
    </row>
    <row r="6" spans="1:11">
      <c r="B6" s="8"/>
      <c r="E6" s="122"/>
      <c r="F6" s="122"/>
      <c r="K6" s="9"/>
    </row>
    <row r="7" spans="1:11">
      <c r="B7" s="8"/>
      <c r="E7" s="122"/>
      <c r="F7" s="259"/>
      <c r="G7" s="259"/>
      <c r="H7" s="259"/>
      <c r="I7" s="259"/>
      <c r="K7" s="9"/>
    </row>
    <row r="8" spans="1:11" ht="14.85" customHeight="1">
      <c r="B8" s="793" t="s">
        <v>84</v>
      </c>
      <c r="C8" s="783"/>
      <c r="D8" s="783"/>
      <c r="E8" s="783"/>
      <c r="F8" s="783"/>
      <c r="G8" s="783"/>
      <c r="H8" s="783"/>
      <c r="I8" s="783"/>
      <c r="J8" s="783"/>
      <c r="K8" s="794"/>
    </row>
    <row r="9" spans="1:11">
      <c r="B9" s="8"/>
      <c r="K9" s="9"/>
    </row>
    <row r="10" spans="1:11">
      <c r="A10" s="45"/>
      <c r="B10" s="34"/>
      <c r="C10" s="45"/>
      <c r="D10" s="2"/>
      <c r="E10" s="83" t="s">
        <v>42</v>
      </c>
      <c r="F10" s="83" t="s">
        <v>43</v>
      </c>
      <c r="G10" s="83" t="s">
        <v>44</v>
      </c>
      <c r="H10" s="83" t="s">
        <v>45</v>
      </c>
      <c r="I10" s="83" t="s">
        <v>46</v>
      </c>
      <c r="J10" s="73"/>
      <c r="K10" s="9"/>
    </row>
    <row r="11" spans="1:11">
      <c r="A11" s="45"/>
      <c r="B11" s="34"/>
      <c r="C11" s="45"/>
      <c r="D11" s="2"/>
      <c r="E11" s="83" t="str">
        <f>IF('1) Proposed School Information'!E21="Select Year"," ",'1) Proposed School Information'!E21)</f>
        <v>2024-25</v>
      </c>
      <c r="F11" s="83" t="str">
        <f>IF(E11=" "," ",VLOOKUP(E11,Source!$A$8:$B$17,2,FALSE))</f>
        <v>2025-26</v>
      </c>
      <c r="G11" s="83" t="str">
        <f>IF(F11=" "," ",VLOOKUP(F11,Source!$A$8:$B$17,2,FALSE))</f>
        <v>2026-27</v>
      </c>
      <c r="H11" s="83" t="str">
        <f>IF(G11=" "," ",VLOOKUP(G11,Source!$A$8:$B$17,2,FALSE))</f>
        <v>2027-28</v>
      </c>
      <c r="I11" s="83" t="str">
        <f>IF(H11=" "," ",VLOOKUP(H11,Source!$A$8:$B$17,2,FALSE))</f>
        <v>2028-29</v>
      </c>
      <c r="J11" s="73"/>
      <c r="K11" s="9"/>
    </row>
    <row r="12" spans="1:11">
      <c r="A12" s="45"/>
      <c r="B12" s="34"/>
      <c r="C12" s="42" t="s">
        <v>86</v>
      </c>
      <c r="D12" s="2"/>
      <c r="E12" s="75">
        <f>'6) Year 1 Budget'!E12</f>
        <v>0</v>
      </c>
      <c r="F12" s="69">
        <v>2.5000000000000001E-2</v>
      </c>
      <c r="G12" s="69">
        <v>2.5000000000000001E-2</v>
      </c>
      <c r="H12" s="69">
        <v>2.5000000000000001E-2</v>
      </c>
      <c r="I12" s="69">
        <v>2.5000000000000001E-2</v>
      </c>
      <c r="J12" s="105"/>
      <c r="K12" s="9"/>
    </row>
    <row r="13" spans="1:11">
      <c r="A13" s="45"/>
      <c r="B13" s="34"/>
      <c r="C13" s="45" t="s">
        <v>87</v>
      </c>
      <c r="D13" s="2"/>
      <c r="E13" s="76">
        <f>'6) Year 1 Budget'!E13</f>
        <v>1</v>
      </c>
      <c r="F13" s="76">
        <f>E13*(1+F12)</f>
        <v>1.0249999999999999</v>
      </c>
      <c r="G13" s="76">
        <f t="shared" ref="G13:I13" si="0">F13*(1+G12)</f>
        <v>1.0506249999999999</v>
      </c>
      <c r="H13" s="76">
        <f t="shared" si="0"/>
        <v>1.0768906249999999</v>
      </c>
      <c r="I13" s="76">
        <f t="shared" si="0"/>
        <v>1.1038128906249998</v>
      </c>
      <c r="J13" s="76"/>
      <c r="K13" s="9"/>
    </row>
    <row r="14" spans="1:11">
      <c r="A14" s="45"/>
      <c r="B14" s="34"/>
      <c r="C14" s="45"/>
      <c r="D14" s="2"/>
      <c r="E14" s="76"/>
      <c r="F14" s="76"/>
      <c r="G14" s="76"/>
      <c r="H14" s="76"/>
      <c r="I14" s="76"/>
      <c r="J14" s="76"/>
      <c r="K14" s="9"/>
    </row>
    <row r="15" spans="1:11">
      <c r="A15" s="45"/>
      <c r="B15" s="34"/>
      <c r="C15" s="656" t="s">
        <v>218</v>
      </c>
      <c r="D15" s="654"/>
      <c r="E15" s="649">
        <f>'2) Student Assumptions'!E$29</f>
        <v>105</v>
      </c>
      <c r="F15" s="658">
        <f>'2) Student Assumptions'!F$29</f>
        <v>207</v>
      </c>
      <c r="G15" s="658">
        <f>'2) Student Assumptions'!G$29</f>
        <v>306</v>
      </c>
      <c r="H15" s="658">
        <f>'2) Student Assumptions'!H$29</f>
        <v>409</v>
      </c>
      <c r="I15" s="658">
        <f>'2) Student Assumptions'!I$29</f>
        <v>509</v>
      </c>
      <c r="J15" s="651" t="s">
        <v>792</v>
      </c>
      <c r="K15" s="9"/>
    </row>
    <row r="16" spans="1:11">
      <c r="A16" s="45"/>
      <c r="B16" s="34"/>
      <c r="C16" s="57"/>
      <c r="D16" s="2"/>
      <c r="E16" s="76"/>
      <c r="F16" s="44"/>
      <c r="G16" s="44"/>
      <c r="H16" s="44"/>
      <c r="I16" s="44"/>
      <c r="J16" s="76"/>
      <c r="K16" s="9"/>
    </row>
    <row r="17" spans="1:11">
      <c r="A17" s="45"/>
      <c r="B17" s="34"/>
      <c r="C17" s="657" t="s">
        <v>791</v>
      </c>
      <c r="D17" s="652"/>
      <c r="E17" s="653">
        <f>'6) Year 1 Budget'!C19</f>
        <v>6860</v>
      </c>
      <c r="F17" s="655">
        <f>E17*(1+F$12)</f>
        <v>7031.4999999999991</v>
      </c>
      <c r="G17" s="655">
        <f t="shared" ref="G17:I17" si="1">F17*(1+G$12)</f>
        <v>7207.2874999999985</v>
      </c>
      <c r="H17" s="655">
        <f t="shared" si="1"/>
        <v>7387.4696874999981</v>
      </c>
      <c r="I17" s="655">
        <f t="shared" si="1"/>
        <v>7572.1564296874976</v>
      </c>
      <c r="J17" s="651" t="s">
        <v>795</v>
      </c>
      <c r="K17" s="9"/>
    </row>
    <row r="18" spans="1:11">
      <c r="A18" s="45"/>
      <c r="B18" s="34"/>
      <c r="C18" s="657" t="s">
        <v>793</v>
      </c>
      <c r="D18" s="652"/>
      <c r="E18" s="653">
        <f>'6) Year 1 Budget'!C20</f>
        <v>1822.4619896391312</v>
      </c>
      <c r="F18" s="655">
        <f t="shared" ref="F18:I19" si="2">E18*(1+F$12)</f>
        <v>1868.0235393801092</v>
      </c>
      <c r="G18" s="655">
        <f t="shared" si="2"/>
        <v>1914.7241278646118</v>
      </c>
      <c r="H18" s="655">
        <f t="shared" si="2"/>
        <v>1962.5922310612268</v>
      </c>
      <c r="I18" s="655">
        <f t="shared" si="2"/>
        <v>2011.6570368377572</v>
      </c>
      <c r="J18" s="75"/>
      <c r="K18" s="9"/>
    </row>
    <row r="19" spans="1:11">
      <c r="A19" s="45"/>
      <c r="B19" s="34"/>
      <c r="C19" s="657" t="s">
        <v>794</v>
      </c>
      <c r="D19" s="652"/>
      <c r="E19" s="653">
        <f>'6) Year 1 Budget'!C21</f>
        <v>500</v>
      </c>
      <c r="F19" s="655">
        <f t="shared" si="2"/>
        <v>512.5</v>
      </c>
      <c r="G19" s="655">
        <f t="shared" si="2"/>
        <v>525.3125</v>
      </c>
      <c r="H19" s="655">
        <f t="shared" si="2"/>
        <v>538.4453125</v>
      </c>
      <c r="I19" s="655">
        <f t="shared" si="2"/>
        <v>551.90644531249995</v>
      </c>
      <c r="J19" s="75"/>
      <c r="K19" s="9"/>
    </row>
    <row r="20" spans="1:11">
      <c r="A20" s="45"/>
      <c r="B20" s="34"/>
      <c r="C20" s="45"/>
      <c r="D20" s="2"/>
      <c r="F20" s="76"/>
      <c r="G20" s="76"/>
      <c r="H20" s="76"/>
      <c r="I20" s="76"/>
      <c r="J20" s="76"/>
      <c r="K20" s="9"/>
    </row>
    <row r="21" spans="1:11">
      <c r="B21" s="32" t="s">
        <v>92</v>
      </c>
      <c r="C21" s="42" t="s">
        <v>251</v>
      </c>
      <c r="D21" s="45"/>
      <c r="E21" s="85"/>
      <c r="F21" s="85"/>
      <c r="G21" s="85"/>
      <c r="H21" s="85"/>
      <c r="I21" s="85"/>
      <c r="J21" s="47" t="s">
        <v>91</v>
      </c>
      <c r="K21" s="9"/>
    </row>
    <row r="22" spans="1:11">
      <c r="B22" s="34" t="s">
        <v>273</v>
      </c>
      <c r="C22" s="65">
        <v>6860</v>
      </c>
      <c r="E22" s="631">
        <f>'6) Year 1 Budget'!E19</f>
        <v>720300</v>
      </c>
      <c r="F22" s="65">
        <f>F$15*F17</f>
        <v>1455520.4999999998</v>
      </c>
      <c r="G22" s="65">
        <f t="shared" ref="G22:I22" si="3">G$15*G17</f>
        <v>2205429.9749999996</v>
      </c>
      <c r="H22" s="65">
        <f t="shared" si="3"/>
        <v>3021475.1021874994</v>
      </c>
      <c r="I22" s="65">
        <f t="shared" si="3"/>
        <v>3854227.6227109362</v>
      </c>
      <c r="J22" s="106" t="s">
        <v>798</v>
      </c>
      <c r="K22" s="9"/>
    </row>
    <row r="23" spans="1:11">
      <c r="B23" s="34" t="s">
        <v>256</v>
      </c>
      <c r="C23" s="65" t="s">
        <v>274</v>
      </c>
      <c r="E23" s="631">
        <f>'6) Year 1 Budget'!E20</f>
        <v>191358.50891210878</v>
      </c>
      <c r="F23" s="65">
        <f t="shared" ref="F23:I24" si="4">F$15*F18</f>
        <v>386680.87265168258</v>
      </c>
      <c r="G23" s="65">
        <f t="shared" si="4"/>
        <v>585905.58312657115</v>
      </c>
      <c r="H23" s="65">
        <f t="shared" si="4"/>
        <v>802700.22250404174</v>
      </c>
      <c r="I23" s="65">
        <f t="shared" si="4"/>
        <v>1023933.4317504184</v>
      </c>
      <c r="J23" s="106" t="s">
        <v>798</v>
      </c>
      <c r="K23" s="9"/>
    </row>
    <row r="24" spans="1:11">
      <c r="B24" s="34" t="s">
        <v>257</v>
      </c>
      <c r="C24" s="65" t="s">
        <v>274</v>
      </c>
      <c r="E24" s="631">
        <f>'6) Year 1 Budget'!E21</f>
        <v>52500</v>
      </c>
      <c r="F24" s="65">
        <f t="shared" si="4"/>
        <v>106087.5</v>
      </c>
      <c r="G24" s="65">
        <f t="shared" si="4"/>
        <v>160745.625</v>
      </c>
      <c r="H24" s="65">
        <f t="shared" si="4"/>
        <v>220224.1328125</v>
      </c>
      <c r="I24" s="65">
        <f t="shared" si="4"/>
        <v>280920.38066406245</v>
      </c>
      <c r="J24" s="106" t="s">
        <v>798</v>
      </c>
      <c r="K24" s="9"/>
    </row>
    <row r="25" spans="1:11">
      <c r="B25" s="646" t="s">
        <v>801</v>
      </c>
      <c r="C25" s="65"/>
      <c r="E25" s="631">
        <f>'6) Year 1 Budget'!E22</f>
        <v>85000</v>
      </c>
      <c r="F25" s="655">
        <f t="shared" ref="F25:I25" si="5">E25*(1+F$12)</f>
        <v>87124.999999999985</v>
      </c>
      <c r="G25" s="655">
        <f t="shared" si="5"/>
        <v>89303.124999999971</v>
      </c>
      <c r="H25" s="655">
        <f t="shared" si="5"/>
        <v>91535.703124999956</v>
      </c>
      <c r="I25" s="655">
        <f t="shared" si="5"/>
        <v>93824.095703124942</v>
      </c>
      <c r="J25" s="106"/>
      <c r="K25" s="9"/>
    </row>
    <row r="26" spans="1:11">
      <c r="B26" s="34" t="str">
        <f>'6) Year 1 Budget'!B23</f>
        <v>Other:  BEP</v>
      </c>
      <c r="C26" s="65"/>
      <c r="E26" s="82">
        <f>'6) Year 1 Budget'!E23</f>
        <v>142800</v>
      </c>
      <c r="F26" s="655">
        <f t="shared" ref="F26" si="6">E26*(1+F$12)</f>
        <v>146370</v>
      </c>
      <c r="G26" s="655">
        <f t="shared" ref="G26" si="7">F26*(1+G$12)</f>
        <v>150029.25</v>
      </c>
      <c r="H26" s="655">
        <f t="shared" ref="H26" si="8">G26*(1+H$12)</f>
        <v>153779.98124999998</v>
      </c>
      <c r="I26" s="655">
        <f t="shared" ref="I26" si="9">H26*(1+I$12)</f>
        <v>157624.48078124996</v>
      </c>
      <c r="J26" s="106"/>
      <c r="K26" s="9"/>
    </row>
    <row r="27" spans="1:11">
      <c r="B27" s="34"/>
      <c r="C27" s="81"/>
      <c r="E27" s="77"/>
      <c r="F27" s="52"/>
      <c r="G27" s="52"/>
      <c r="H27" s="52"/>
      <c r="I27" s="52"/>
      <c r="J27" s="52"/>
      <c r="K27" s="9"/>
    </row>
    <row r="28" spans="1:11">
      <c r="B28" s="32" t="s">
        <v>88</v>
      </c>
      <c r="C28" s="81"/>
      <c r="E28" s="77"/>
      <c r="F28" s="52"/>
      <c r="G28" s="52"/>
      <c r="H28" s="52"/>
      <c r="I28" s="52"/>
      <c r="J28" s="52"/>
      <c r="K28" s="9"/>
    </row>
    <row r="29" spans="1:11">
      <c r="B29" s="34" t="s">
        <v>97</v>
      </c>
      <c r="C29" s="65">
        <v>0</v>
      </c>
      <c r="E29" s="82">
        <f>'6) Year 1 Budget'!E26</f>
        <v>24524.85</v>
      </c>
      <c r="F29" s="65">
        <v>49557</v>
      </c>
      <c r="G29" s="65">
        <v>75090</v>
      </c>
      <c r="H29" s="65">
        <v>102874</v>
      </c>
      <c r="I29" s="65">
        <v>131227</v>
      </c>
      <c r="J29" s="106"/>
      <c r="K29" s="9"/>
    </row>
    <row r="30" spans="1:11">
      <c r="B30" s="34" t="s">
        <v>98</v>
      </c>
      <c r="C30" s="65">
        <v>0</v>
      </c>
      <c r="E30" s="82">
        <f>'6) Year 1 Budget'!E27</f>
        <v>2673</v>
      </c>
      <c r="F30" s="65">
        <v>5401</v>
      </c>
      <c r="G30" s="65">
        <v>8184</v>
      </c>
      <c r="H30" s="65">
        <v>11212</v>
      </c>
      <c r="I30" s="65">
        <v>14302</v>
      </c>
      <c r="J30" s="106"/>
      <c r="K30" s="9"/>
    </row>
    <row r="31" spans="1:11">
      <c r="B31" s="34" t="s">
        <v>99</v>
      </c>
      <c r="C31" s="65">
        <v>0</v>
      </c>
      <c r="E31" s="82">
        <f>'6) Year 1 Budget'!E28</f>
        <v>0</v>
      </c>
      <c r="F31" s="65">
        <f t="shared" ref="F31:F33" si="10">$E31*(1+F$12)</f>
        <v>0</v>
      </c>
      <c r="G31" s="65">
        <f t="shared" ref="G31:I33" si="11">$E31*(1+G$12)</f>
        <v>0</v>
      </c>
      <c r="H31" s="65">
        <f t="shared" si="11"/>
        <v>0</v>
      </c>
      <c r="I31" s="65">
        <f t="shared" si="11"/>
        <v>0</v>
      </c>
      <c r="J31" s="106"/>
      <c r="K31" s="9"/>
    </row>
    <row r="32" spans="1:11">
      <c r="B32" s="34" t="s">
        <v>100</v>
      </c>
      <c r="C32" s="65">
        <v>0</v>
      </c>
      <c r="E32" s="82">
        <f>'6) Year 1 Budget'!E29</f>
        <v>0</v>
      </c>
      <c r="F32" s="65">
        <f t="shared" si="10"/>
        <v>0</v>
      </c>
      <c r="G32" s="65">
        <f t="shared" si="11"/>
        <v>0</v>
      </c>
      <c r="H32" s="65">
        <f t="shared" si="11"/>
        <v>0</v>
      </c>
      <c r="I32" s="65">
        <f t="shared" si="11"/>
        <v>0</v>
      </c>
      <c r="J32" s="106"/>
      <c r="K32" s="9"/>
    </row>
    <row r="33" spans="2:11">
      <c r="B33" s="34" t="s">
        <v>101</v>
      </c>
      <c r="C33" s="65">
        <v>0</v>
      </c>
      <c r="E33" s="82">
        <f>'6) Year 1 Budget'!E30</f>
        <v>0</v>
      </c>
      <c r="F33" s="65">
        <f t="shared" si="10"/>
        <v>0</v>
      </c>
      <c r="G33" s="65">
        <f t="shared" si="11"/>
        <v>0</v>
      </c>
      <c r="H33" s="65">
        <f t="shared" si="11"/>
        <v>0</v>
      </c>
      <c r="I33" s="65">
        <f t="shared" si="11"/>
        <v>0</v>
      </c>
      <c r="J33" s="106"/>
      <c r="K33" s="9"/>
    </row>
    <row r="34" spans="2:11">
      <c r="B34" s="34" t="s">
        <v>102</v>
      </c>
      <c r="C34" s="65">
        <v>0</v>
      </c>
      <c r="E34" s="82">
        <f>'6) Year 1 Budget'!E31</f>
        <v>200000</v>
      </c>
      <c r="F34" s="65">
        <v>0</v>
      </c>
      <c r="G34" s="65">
        <v>0</v>
      </c>
      <c r="H34" s="65">
        <v>0</v>
      </c>
      <c r="I34" s="65">
        <v>0</v>
      </c>
      <c r="J34" s="106"/>
      <c r="K34" s="9"/>
    </row>
    <row r="35" spans="2:11">
      <c r="B35" s="34" t="str">
        <f>'6) Year 1 Budget'!B32</f>
        <v>Other:  IDEA</v>
      </c>
      <c r="C35" s="65">
        <v>0</v>
      </c>
      <c r="E35" s="82">
        <f>'6) Year 1 Budget'!E32</f>
        <v>24759</v>
      </c>
      <c r="F35" s="65">
        <v>50031</v>
      </c>
      <c r="G35" s="65">
        <v>75808</v>
      </c>
      <c r="H35" s="65">
        <v>103858</v>
      </c>
      <c r="I35" s="65">
        <v>132483</v>
      </c>
      <c r="J35" s="106"/>
      <c r="K35" s="9"/>
    </row>
    <row r="36" spans="2:11">
      <c r="B36" s="34" t="str">
        <f>'6) Year 1 Budget'!B33</f>
        <v>Other: USDA School Breakfast &amp; Lunch</v>
      </c>
      <c r="C36" s="65">
        <v>0</v>
      </c>
      <c r="E36" s="82">
        <f>'6) Year 1 Budget'!E33</f>
        <v>90000</v>
      </c>
      <c r="F36" s="65">
        <v>181877</v>
      </c>
      <c r="G36" s="65">
        <v>275583</v>
      </c>
      <c r="H36" s="65">
        <v>377553</v>
      </c>
      <c r="I36" s="65">
        <v>481612</v>
      </c>
      <c r="J36" s="106"/>
      <c r="K36" s="9"/>
    </row>
    <row r="37" spans="2:11">
      <c r="B37" s="34"/>
      <c r="C37" s="81"/>
      <c r="E37" s="77"/>
      <c r="F37" s="52"/>
      <c r="G37" s="52"/>
      <c r="H37" s="52"/>
      <c r="I37" s="52"/>
      <c r="J37" s="52"/>
      <c r="K37" s="9"/>
    </row>
    <row r="38" spans="2:11">
      <c r="B38" s="32" t="s">
        <v>103</v>
      </c>
      <c r="C38" s="81"/>
      <c r="E38" s="77"/>
      <c r="F38" s="52"/>
      <c r="G38" s="52"/>
      <c r="H38" s="52"/>
      <c r="I38" s="52"/>
      <c r="J38" s="52"/>
      <c r="K38" s="9"/>
    </row>
    <row r="39" spans="2:11">
      <c r="B39" s="34" t="str">
        <f>'6) Year 1 Budget'!B36</f>
        <v>Other</v>
      </c>
      <c r="C39" s="65">
        <v>0</v>
      </c>
      <c r="E39" s="82">
        <f>'6) Year 1 Budget'!E36</f>
        <v>0</v>
      </c>
      <c r="F39" s="65">
        <f>$C39*(1+F$12)</f>
        <v>0</v>
      </c>
      <c r="G39" s="65">
        <f t="shared" ref="G39:I43" si="12">$C39*(1+G$12)</f>
        <v>0</v>
      </c>
      <c r="H39" s="65">
        <f t="shared" si="12"/>
        <v>0</v>
      </c>
      <c r="I39" s="65">
        <f t="shared" si="12"/>
        <v>0</v>
      </c>
      <c r="J39" s="106"/>
      <c r="K39" s="9"/>
    </row>
    <row r="40" spans="2:11">
      <c r="B40" s="34" t="str">
        <f>'6) Year 1 Budget'!B37</f>
        <v>Other</v>
      </c>
      <c r="C40" s="65">
        <v>0</v>
      </c>
      <c r="E40" s="82">
        <f>'6) Year 1 Budget'!E37</f>
        <v>0</v>
      </c>
      <c r="F40" s="65">
        <f t="shared" ref="F40:F43" si="13">$C40*(1+F$12)</f>
        <v>0</v>
      </c>
      <c r="G40" s="65">
        <f t="shared" si="12"/>
        <v>0</v>
      </c>
      <c r="H40" s="65">
        <f t="shared" si="12"/>
        <v>0</v>
      </c>
      <c r="I40" s="65">
        <f t="shared" si="12"/>
        <v>0</v>
      </c>
      <c r="J40" s="106"/>
      <c r="K40" s="9"/>
    </row>
    <row r="41" spans="2:11">
      <c r="B41" s="34" t="str">
        <f>'6) Year 1 Budget'!B38</f>
        <v>Other</v>
      </c>
      <c r="C41" s="65">
        <v>0</v>
      </c>
      <c r="E41" s="82">
        <f>'6) Year 1 Budget'!E38</f>
        <v>0</v>
      </c>
      <c r="F41" s="65">
        <f t="shared" si="13"/>
        <v>0</v>
      </c>
      <c r="G41" s="65">
        <f t="shared" si="12"/>
        <v>0</v>
      </c>
      <c r="H41" s="65">
        <f t="shared" si="12"/>
        <v>0</v>
      </c>
      <c r="I41" s="65">
        <f t="shared" si="12"/>
        <v>0</v>
      </c>
      <c r="J41" s="106"/>
      <c r="K41" s="9"/>
    </row>
    <row r="42" spans="2:11">
      <c r="B42" s="34" t="str">
        <f>'6) Year 1 Budget'!B39</f>
        <v>Other</v>
      </c>
      <c r="C42" s="65">
        <v>0</v>
      </c>
      <c r="E42" s="82">
        <f>'6) Year 1 Budget'!E39</f>
        <v>0</v>
      </c>
      <c r="F42" s="65">
        <f t="shared" si="13"/>
        <v>0</v>
      </c>
      <c r="G42" s="65">
        <f t="shared" si="12"/>
        <v>0</v>
      </c>
      <c r="H42" s="65">
        <f t="shared" si="12"/>
        <v>0</v>
      </c>
      <c r="I42" s="65">
        <f t="shared" si="12"/>
        <v>0</v>
      </c>
      <c r="J42" s="106"/>
      <c r="K42" s="9"/>
    </row>
    <row r="43" spans="2:11">
      <c r="B43" s="34" t="str">
        <f>'6) Year 1 Budget'!B40</f>
        <v>Other</v>
      </c>
      <c r="C43" s="65">
        <v>0</v>
      </c>
      <c r="E43" s="82">
        <f>'6) Year 1 Budget'!E40</f>
        <v>0</v>
      </c>
      <c r="F43" s="65">
        <f t="shared" si="13"/>
        <v>0</v>
      </c>
      <c r="G43" s="65">
        <f t="shared" si="12"/>
        <v>0</v>
      </c>
      <c r="H43" s="65">
        <f t="shared" si="12"/>
        <v>0</v>
      </c>
      <c r="I43" s="65">
        <f t="shared" si="12"/>
        <v>0</v>
      </c>
      <c r="J43" s="106"/>
      <c r="K43" s="9"/>
    </row>
    <row r="44" spans="2:11">
      <c r="B44" s="34"/>
      <c r="C44" s="81"/>
      <c r="E44" s="77">
        <f>'6) Year 1 Budget'!E41</f>
        <v>0</v>
      </c>
      <c r="F44" s="52"/>
      <c r="G44" s="52"/>
      <c r="H44" s="52"/>
      <c r="I44" s="52"/>
      <c r="J44" s="52"/>
      <c r="K44" s="9"/>
    </row>
    <row r="45" spans="2:11">
      <c r="B45" s="32" t="s">
        <v>104</v>
      </c>
      <c r="C45" s="81"/>
      <c r="E45" s="77">
        <f>'6) Year 1 Budget'!E42</f>
        <v>0</v>
      </c>
      <c r="F45" s="52"/>
      <c r="G45" s="52"/>
      <c r="H45" s="52"/>
      <c r="I45" s="52"/>
      <c r="J45" s="52"/>
      <c r="K45" s="9"/>
    </row>
    <row r="46" spans="2:11">
      <c r="B46" s="34" t="s">
        <v>807</v>
      </c>
      <c r="C46" s="65">
        <f>E46</f>
        <v>620000</v>
      </c>
      <c r="E46" s="82">
        <f>+'6) Year 1 Budget'!E44</f>
        <v>620000</v>
      </c>
      <c r="F46" s="65">
        <v>130000</v>
      </c>
      <c r="G46" s="65"/>
      <c r="H46" s="65"/>
      <c r="I46" s="65"/>
      <c r="J46" s="106"/>
      <c r="K46" s="9"/>
    </row>
    <row r="47" spans="2:11">
      <c r="B47" s="34" t="s">
        <v>808</v>
      </c>
      <c r="C47" s="65">
        <f>E47</f>
        <v>650000</v>
      </c>
      <c r="E47" s="82">
        <f>+'6) Year 1 Budget'!E45</f>
        <v>650000</v>
      </c>
      <c r="F47" s="65">
        <v>1000000</v>
      </c>
      <c r="G47" s="65">
        <v>1000000</v>
      </c>
      <c r="H47" s="65">
        <v>500000</v>
      </c>
      <c r="I47" s="65">
        <v>0</v>
      </c>
      <c r="J47" s="106"/>
      <c r="K47" s="9"/>
    </row>
    <row r="48" spans="2:11">
      <c r="B48" s="34" t="str">
        <f>'6) Year 1 Budget'!B45</f>
        <v>Other</v>
      </c>
      <c r="C48" s="65">
        <v>0</v>
      </c>
      <c r="E48" s="82">
        <v>0</v>
      </c>
      <c r="F48" s="65">
        <v>0</v>
      </c>
      <c r="G48" s="65">
        <v>0</v>
      </c>
      <c r="H48" s="65">
        <v>0</v>
      </c>
      <c r="I48" s="65">
        <v>0</v>
      </c>
      <c r="J48" s="106"/>
      <c r="K48" s="9"/>
    </row>
    <row r="49" spans="1:11">
      <c r="B49" s="34" t="str">
        <f>'6) Year 1 Budget'!B46</f>
        <v>Other</v>
      </c>
      <c r="C49" s="65">
        <v>0</v>
      </c>
      <c r="E49" s="82">
        <f>'6) Year 1 Budget'!E46</f>
        <v>0</v>
      </c>
      <c r="F49" s="65">
        <v>0</v>
      </c>
      <c r="G49" s="65">
        <v>0</v>
      </c>
      <c r="H49" s="65">
        <v>0</v>
      </c>
      <c r="I49" s="65">
        <v>0</v>
      </c>
      <c r="J49" s="106"/>
      <c r="K49" s="9"/>
    </row>
    <row r="50" spans="1:11" ht="14.85" customHeight="1">
      <c r="B50" s="34" t="str">
        <f>'6) Year 1 Budget'!B47</f>
        <v>Other</v>
      </c>
      <c r="C50" s="65">
        <v>0</v>
      </c>
      <c r="E50" s="82">
        <f>'6) Year 1 Budget'!E47</f>
        <v>0</v>
      </c>
      <c r="F50" s="65">
        <v>0</v>
      </c>
      <c r="G50" s="65">
        <v>0</v>
      </c>
      <c r="H50" s="65">
        <v>0</v>
      </c>
      <c r="I50" s="65">
        <v>0</v>
      </c>
      <c r="J50" s="106"/>
      <c r="K50" s="9"/>
    </row>
    <row r="51" spans="1:11">
      <c r="A51" s="45"/>
      <c r="B51" s="34"/>
      <c r="C51" s="45"/>
      <c r="D51" s="45"/>
      <c r="E51" s="30"/>
      <c r="F51" s="30"/>
      <c r="G51" s="30"/>
      <c r="H51" s="30"/>
      <c r="I51" s="30"/>
      <c r="J51" s="30"/>
      <c r="K51" s="9"/>
    </row>
    <row r="52" spans="1:11">
      <c r="B52" s="31" t="s">
        <v>106</v>
      </c>
      <c r="E52" s="55">
        <f>SUM(E22:E26,E29:E36,E39:E43,E46:E50)</f>
        <v>2803915.3589121089</v>
      </c>
      <c r="F52" s="55">
        <f t="shared" ref="F52:I52" si="14">SUM(F22:F26,F29:F36,F39:F43,F46:F50)</f>
        <v>3598649.8726516822</v>
      </c>
      <c r="G52" s="55">
        <f t="shared" si="14"/>
        <v>4626078.5581265707</v>
      </c>
      <c r="H52" s="55">
        <f t="shared" si="14"/>
        <v>5385212.1418790407</v>
      </c>
      <c r="I52" s="55">
        <f t="shared" si="14"/>
        <v>6170154.0116097918</v>
      </c>
      <c r="J52" s="55"/>
      <c r="K52" s="9"/>
    </row>
    <row r="53" spans="1:11" ht="15.75" thickBot="1">
      <c r="B53" s="146"/>
      <c r="C53" s="21"/>
      <c r="D53" s="21"/>
      <c r="E53" s="147"/>
      <c r="F53" s="147"/>
      <c r="G53" s="147"/>
      <c r="H53" s="147"/>
      <c r="I53" s="147"/>
      <c r="J53" s="147"/>
      <c r="K53" s="22"/>
    </row>
    <row r="54" spans="1:11" ht="15" customHeight="1">
      <c r="A54" s="45"/>
      <c r="B54" s="795" t="s">
        <v>214</v>
      </c>
      <c r="C54" s="780"/>
      <c r="D54" s="780"/>
      <c r="E54" s="780"/>
      <c r="F54" s="780"/>
      <c r="G54" s="780"/>
      <c r="H54" s="780"/>
      <c r="I54" s="780"/>
      <c r="J54" s="780"/>
      <c r="K54" s="796"/>
    </row>
    <row r="55" spans="1:11">
      <c r="A55" s="45"/>
      <c r="B55" s="8"/>
      <c r="E55" s="19"/>
      <c r="F55" s="19"/>
      <c r="G55" s="19"/>
      <c r="H55" s="19"/>
      <c r="I55" s="19"/>
      <c r="J55" s="19"/>
      <c r="K55" s="9"/>
    </row>
    <row r="56" spans="1:11">
      <c r="A56" s="45"/>
      <c r="B56" s="34"/>
      <c r="C56" s="45"/>
      <c r="D56" s="2"/>
      <c r="E56" s="83" t="s">
        <v>42</v>
      </c>
      <c r="F56" s="83" t="s">
        <v>43</v>
      </c>
      <c r="G56" s="83" t="s">
        <v>44</v>
      </c>
      <c r="H56" s="83" t="s">
        <v>45</v>
      </c>
      <c r="I56" s="83" t="s">
        <v>46</v>
      </c>
      <c r="J56" s="73"/>
      <c r="K56" s="9"/>
    </row>
    <row r="57" spans="1:11">
      <c r="A57" s="45"/>
      <c r="B57" s="34"/>
      <c r="C57" s="45"/>
      <c r="D57" s="45"/>
      <c r="E57" s="84" t="str">
        <f>E11</f>
        <v>2024-25</v>
      </c>
      <c r="F57" s="84" t="str">
        <f t="shared" ref="F57:I57" si="15">F11</f>
        <v>2025-26</v>
      </c>
      <c r="G57" s="84" t="str">
        <f t="shared" si="15"/>
        <v>2026-27</v>
      </c>
      <c r="H57" s="84" t="str">
        <f t="shared" si="15"/>
        <v>2027-28</v>
      </c>
      <c r="I57" s="84" t="str">
        <f t="shared" si="15"/>
        <v>2028-29</v>
      </c>
      <c r="J57" s="85"/>
      <c r="K57" s="9"/>
    </row>
    <row r="58" spans="1:11">
      <c r="A58" s="45"/>
      <c r="B58" s="34"/>
      <c r="C58" s="45"/>
      <c r="D58" s="45"/>
      <c r="E58" s="85"/>
      <c r="F58" s="85"/>
      <c r="G58" s="85"/>
      <c r="H58" s="85"/>
      <c r="I58" s="85"/>
      <c r="J58" s="85"/>
      <c r="K58" s="9"/>
    </row>
    <row r="59" spans="1:11">
      <c r="A59" s="45"/>
      <c r="B59" s="34"/>
      <c r="C59" s="45"/>
      <c r="D59" s="45"/>
      <c r="E59" s="85"/>
      <c r="F59" s="85"/>
      <c r="G59" s="85"/>
      <c r="H59" s="85"/>
      <c r="I59" s="85"/>
      <c r="J59" s="85"/>
      <c r="K59" s="9"/>
    </row>
    <row r="60" spans="1:11">
      <c r="A60" s="45"/>
      <c r="B60" s="29" t="str">
        <f>'[4]5) Year 1-5 Staff Assumptions'!B50</f>
        <v>Administrative Staff</v>
      </c>
      <c r="C60" s="42"/>
      <c r="D60" s="45"/>
      <c r="E60" s="77"/>
      <c r="F60" s="52"/>
      <c r="G60" s="52"/>
      <c r="H60" s="52"/>
      <c r="I60" s="52"/>
      <c r="J60" s="47" t="s">
        <v>91</v>
      </c>
      <c r="K60" s="9"/>
    </row>
    <row r="61" spans="1:11">
      <c r="A61" s="45"/>
      <c r="B61" s="27" t="str">
        <f>'[4]5) Year 1-5 Staff Assumptions'!B51</f>
        <v>Principal/School Leader</v>
      </c>
      <c r="C61" s="86"/>
      <c r="D61" s="45"/>
      <c r="E61" s="82">
        <f>'6) Year 1 Budget'!E58</f>
        <v>86760</v>
      </c>
      <c r="F61" s="82">
        <f>'5) Year 1-5 Staff Assumptions'!F51</f>
        <v>89362.8</v>
      </c>
      <c r="G61" s="82">
        <f>'5) Year 1-5 Staff Assumptions'!G51</f>
        <v>92043.683999999994</v>
      </c>
      <c r="H61" s="82">
        <f>'5) Year 1-5 Staff Assumptions'!H51</f>
        <v>94804.994520000007</v>
      </c>
      <c r="I61" s="82">
        <f>'5) Year 1-5 Staff Assumptions'!I51</f>
        <v>97649.144355600016</v>
      </c>
      <c r="J61" s="107"/>
      <c r="K61" s="9"/>
    </row>
    <row r="62" spans="1:11">
      <c r="A62" s="45"/>
      <c r="B62" s="27" t="str">
        <f>'[4]5) Year 1-5 Staff Assumptions'!B52</f>
        <v>Assistant Principal</v>
      </c>
      <c r="C62" s="86"/>
      <c r="E62" s="82">
        <f>'6) Year 1 Budget'!E59</f>
        <v>70000</v>
      </c>
      <c r="F62" s="82">
        <f>'5) Year 1-5 Staff Assumptions'!F52</f>
        <v>72100</v>
      </c>
      <c r="G62" s="82">
        <f>'5) Year 1-5 Staff Assumptions'!G52</f>
        <v>74263</v>
      </c>
      <c r="H62" s="82">
        <f>'5) Year 1-5 Staff Assumptions'!H52</f>
        <v>76490.89</v>
      </c>
      <c r="I62" s="82">
        <f>'5) Year 1-5 Staff Assumptions'!I52</f>
        <v>78785.616700000013</v>
      </c>
      <c r="J62" s="107"/>
      <c r="K62" s="9"/>
    </row>
    <row r="63" spans="1:11">
      <c r="A63" s="45"/>
      <c r="B63" s="27" t="str">
        <f>'[4]5) Year 1-5 Staff Assumptions'!B53</f>
        <v>Special Education Coordinator</v>
      </c>
      <c r="C63" s="86"/>
      <c r="E63" s="82">
        <f>'6) Year 1 Budget'!E60</f>
        <v>0</v>
      </c>
      <c r="F63" s="82">
        <f>'5) Year 1-5 Staff Assumptions'!F53</f>
        <v>0</v>
      </c>
      <c r="G63" s="82">
        <f>'5) Year 1-5 Staff Assumptions'!G53</f>
        <v>0</v>
      </c>
      <c r="H63" s="82">
        <f>'5) Year 1-5 Staff Assumptions'!H53</f>
        <v>0</v>
      </c>
      <c r="I63" s="82">
        <f>'5) Year 1-5 Staff Assumptions'!I53</f>
        <v>0</v>
      </c>
      <c r="J63" s="107"/>
      <c r="K63" s="9"/>
    </row>
    <row r="64" spans="1:11">
      <c r="A64" s="45"/>
      <c r="B64" s="27" t="str">
        <f>'[4]5) Year 1-5 Staff Assumptions'!B54</f>
        <v>Deans, Directors</v>
      </c>
      <c r="C64" s="86"/>
      <c r="E64" s="82">
        <f>'6) Year 1 Budget'!E61</f>
        <v>45000</v>
      </c>
      <c r="F64" s="82">
        <f>'5) Year 1-5 Staff Assumptions'!F54</f>
        <v>46350</v>
      </c>
      <c r="G64" s="82">
        <f>'5) Year 1-5 Staff Assumptions'!G54</f>
        <v>47740.5</v>
      </c>
      <c r="H64" s="82">
        <f>'5) Year 1-5 Staff Assumptions'!H54</f>
        <v>49172.715000000004</v>
      </c>
      <c r="I64" s="82">
        <f>'5) Year 1-5 Staff Assumptions'!I54</f>
        <v>50647.896450000007</v>
      </c>
      <c r="J64" s="107"/>
      <c r="K64" s="9"/>
    </row>
    <row r="65" spans="1:11">
      <c r="A65" s="45"/>
      <c r="B65" s="27" t="str">
        <f>'[4]5) Year 1-5 Staff Assumptions'!B55</f>
        <v>Other (Specify in Assumptions)</v>
      </c>
      <c r="C65" s="86"/>
      <c r="E65" s="82">
        <f>'6) Year 1 Budget'!E62</f>
        <v>0</v>
      </c>
      <c r="F65" s="82">
        <f>'5) Year 1-5 Staff Assumptions'!F55</f>
        <v>0</v>
      </c>
      <c r="G65" s="82">
        <f>'5) Year 1-5 Staff Assumptions'!G55</f>
        <v>44557.799999999996</v>
      </c>
      <c r="H65" s="82">
        <f>'5) Year 1-5 Staff Assumptions'!H55</f>
        <v>45894.534</v>
      </c>
      <c r="I65" s="82">
        <f>'5) Year 1-5 Staff Assumptions'!I55</f>
        <v>47271.370020000009</v>
      </c>
      <c r="J65" s="107"/>
      <c r="K65" s="9"/>
    </row>
    <row r="66" spans="1:11">
      <c r="A66" s="45"/>
      <c r="B66" s="29" t="str">
        <f>'[4]5) Year 1-5 Staff Assumptions'!B56</f>
        <v>Total Administrative Compensation</v>
      </c>
      <c r="C66" s="59"/>
      <c r="D66" s="87"/>
      <c r="E66" s="60">
        <f>'6) Year 1 Budget'!E63</f>
        <v>201760</v>
      </c>
      <c r="F66" s="60">
        <f>'5) Year 1-5 Staff Assumptions'!F56</f>
        <v>207812.8</v>
      </c>
      <c r="G66" s="60">
        <f>'5) Year 1-5 Staff Assumptions'!G56</f>
        <v>258604.984</v>
      </c>
      <c r="H66" s="60">
        <f>'5) Year 1-5 Staff Assumptions'!H56</f>
        <v>266363.13352000003</v>
      </c>
      <c r="I66" s="60">
        <f>'5) Year 1-5 Staff Assumptions'!I56</f>
        <v>274354.02752560005</v>
      </c>
      <c r="J66" s="109"/>
      <c r="K66" s="9"/>
    </row>
    <row r="67" spans="1:11">
      <c r="A67" s="45"/>
      <c r="B67" s="27"/>
      <c r="C67" s="86"/>
      <c r="E67" s="77">
        <f>'6) Year 1 Budget'!E64</f>
        <v>0</v>
      </c>
      <c r="F67" s="77"/>
      <c r="G67" s="77"/>
      <c r="H67" s="77"/>
      <c r="I67" s="77"/>
      <c r="J67" s="77"/>
      <c r="K67" s="9"/>
    </row>
    <row r="68" spans="1:11">
      <c r="A68" s="45"/>
      <c r="B68" s="29" t="str">
        <f>'[4]5) Year 1-5 Staff Assumptions'!B58</f>
        <v>Instructional Staff</v>
      </c>
      <c r="C68" s="86"/>
      <c r="D68" s="86"/>
      <c r="E68" s="86"/>
      <c r="F68" s="86"/>
      <c r="G68" s="86"/>
      <c r="H68" s="86"/>
      <c r="I68" s="86"/>
      <c r="J68" s="86"/>
      <c r="K68" s="9"/>
    </row>
    <row r="69" spans="1:11">
      <c r="A69" s="45"/>
      <c r="B69" s="27" t="str">
        <f>'[4]5) Year 1-5 Staff Assumptions'!B59</f>
        <v>Teachers</v>
      </c>
      <c r="C69" s="86"/>
      <c r="E69" s="82">
        <f>'6) Year 1 Budget'!E66</f>
        <v>336000</v>
      </c>
      <c r="F69" s="82">
        <f>'5) Year 1-5 Staff Assumptions'!F59</f>
        <v>519120</v>
      </c>
      <c r="G69" s="82">
        <f>'5) Year 1-5 Staff Assumptions'!G59</f>
        <v>712924.79999999993</v>
      </c>
      <c r="H69" s="82">
        <f>'5) Year 1-5 Staff Assumptions'!H59</f>
        <v>963785.21400000004</v>
      </c>
      <c r="I69" s="82">
        <f>'5) Year 1-5 Staff Assumptions'!I59</f>
        <v>1134512.8804800001</v>
      </c>
      <c r="J69" s="107"/>
      <c r="K69" s="9"/>
    </row>
    <row r="70" spans="1:11">
      <c r="A70" s="45"/>
      <c r="B70" s="27" t="str">
        <f>'[4]5) Year 1-5 Staff Assumptions'!B60</f>
        <v>Special Education Teachers</v>
      </c>
      <c r="C70" s="86"/>
      <c r="E70" s="82">
        <f>'6) Year 1 Budget'!E67</f>
        <v>42000</v>
      </c>
      <c r="F70" s="82">
        <f>'5) Year 1-5 Staff Assumptions'!F60</f>
        <v>43260</v>
      </c>
      <c r="G70" s="82">
        <f>'5) Year 1-5 Staff Assumptions'!G60</f>
        <v>89115.599999999991</v>
      </c>
      <c r="H70" s="82">
        <f>'5) Year 1-5 Staff Assumptions'!H60</f>
        <v>91789.067999999999</v>
      </c>
      <c r="I70" s="82">
        <f>'5) Year 1-5 Staff Assumptions'!I60</f>
        <v>94542.740040000019</v>
      </c>
      <c r="J70" s="107"/>
      <c r="K70" s="9"/>
    </row>
    <row r="71" spans="1:11">
      <c r="A71" s="45"/>
      <c r="B71" s="27" t="str">
        <f>'[4]5) Year 1-5 Staff Assumptions'!B61</f>
        <v>Eduacational Assistants/Aides</v>
      </c>
      <c r="C71" s="86"/>
      <c r="E71" s="82">
        <f>'6) Year 1 Budget'!E68</f>
        <v>0</v>
      </c>
      <c r="F71" s="82">
        <f>'5) Year 1-5 Staff Assumptions'!F61</f>
        <v>0</v>
      </c>
      <c r="G71" s="82">
        <f>'5) Year 1-5 Staff Assumptions'!G61</f>
        <v>0</v>
      </c>
      <c r="H71" s="82">
        <f>'5) Year 1-5 Staff Assumptions'!H61</f>
        <v>0</v>
      </c>
      <c r="I71" s="82">
        <f>'5) Year 1-5 Staff Assumptions'!I61</f>
        <v>0</v>
      </c>
      <c r="J71" s="107"/>
      <c r="K71" s="9"/>
    </row>
    <row r="72" spans="1:11">
      <c r="A72" s="45"/>
      <c r="B72" s="27" t="str">
        <f>'[4]5) Year 1-5 Staff Assumptions'!B62</f>
        <v>Elective Teachers</v>
      </c>
      <c r="C72" s="86"/>
      <c r="E72" s="82">
        <f>'6) Year 1 Budget'!E69</f>
        <v>42000</v>
      </c>
      <c r="F72" s="82">
        <f>'5) Year 1-5 Staff Assumptions'!F62</f>
        <v>43260</v>
      </c>
      <c r="G72" s="82">
        <f>'5) Year 1-5 Staff Assumptions'!G62</f>
        <v>44557.799999999996</v>
      </c>
      <c r="H72" s="82">
        <f>'5) Year 1-5 Staff Assumptions'!H62</f>
        <v>45894.534</v>
      </c>
      <c r="I72" s="82">
        <f>'5) Year 1-5 Staff Assumptions'!I62</f>
        <v>47271.370020000009</v>
      </c>
      <c r="J72" s="107"/>
      <c r="K72" s="9"/>
    </row>
    <row r="73" spans="1:11">
      <c r="A73" s="45"/>
      <c r="B73" s="27" t="str">
        <f>'[4]5) Year 1-5 Staff Assumptions'!B63</f>
        <v>Other (Specify in Assumptions)</v>
      </c>
      <c r="C73" s="86"/>
      <c r="E73" s="82">
        <f>'6) Year 1 Budget'!E70</f>
        <v>0</v>
      </c>
      <c r="F73" s="82">
        <f>'5) Year 1-5 Staff Assumptions'!F63</f>
        <v>0</v>
      </c>
      <c r="G73" s="82">
        <f>'5) Year 1-5 Staff Assumptions'!G63</f>
        <v>44557.799999999996</v>
      </c>
      <c r="H73" s="82">
        <f>'5) Year 1-5 Staff Assumptions'!H63</f>
        <v>45894.534</v>
      </c>
      <c r="I73" s="82">
        <f>'5) Year 1-5 Staff Assumptions'!I63</f>
        <v>47271.370020000009</v>
      </c>
      <c r="J73" s="107"/>
      <c r="K73" s="9"/>
    </row>
    <row r="74" spans="1:11">
      <c r="A74" s="45"/>
      <c r="B74" s="29" t="str">
        <f>'[4]5) Year 1-5 Staff Assumptions'!B64</f>
        <v>Total Instructional Compensation</v>
      </c>
      <c r="C74" s="59"/>
      <c r="D74" s="87"/>
      <c r="E74" s="60">
        <f>'6) Year 1 Budget'!E71</f>
        <v>420000</v>
      </c>
      <c r="F74" s="60">
        <f>'5) Year 1-5 Staff Assumptions'!F64</f>
        <v>605640</v>
      </c>
      <c r="G74" s="60">
        <f>'5) Year 1-5 Staff Assumptions'!G64</f>
        <v>891156</v>
      </c>
      <c r="H74" s="60">
        <f>'5) Year 1-5 Staff Assumptions'!H64</f>
        <v>1147363.3500000001</v>
      </c>
      <c r="I74" s="60">
        <f>'5) Year 1-5 Staff Assumptions'!I64</f>
        <v>1323598.3605600002</v>
      </c>
      <c r="J74" s="109"/>
      <c r="K74" s="9"/>
    </row>
    <row r="75" spans="1:11">
      <c r="A75" s="45"/>
      <c r="B75" s="27"/>
      <c r="C75" s="86"/>
      <c r="E75" s="77"/>
      <c r="F75" s="77"/>
      <c r="G75" s="77"/>
      <c r="H75" s="77"/>
      <c r="I75" s="77"/>
      <c r="J75" s="77"/>
      <c r="K75" s="9"/>
    </row>
    <row r="76" spans="1:11">
      <c r="A76" s="45"/>
      <c r="B76" s="29" t="str">
        <f>'[4]5) Year 1-5 Staff Assumptions'!B66</f>
        <v>Non-Instructional Staff</v>
      </c>
      <c r="C76" s="86"/>
      <c r="D76" s="86"/>
      <c r="E76" s="86"/>
      <c r="F76" s="86"/>
      <c r="G76" s="86"/>
      <c r="H76" s="86"/>
      <c r="I76" s="86"/>
      <c r="J76" s="86"/>
      <c r="K76" s="9"/>
    </row>
    <row r="77" spans="1:11">
      <c r="A77" s="45"/>
      <c r="B77" s="27" t="str">
        <f>'[4]5) Year 1-5 Staff Assumptions'!B67</f>
        <v>Clerical Staff</v>
      </c>
      <c r="C77" s="86"/>
      <c r="D77" s="45"/>
      <c r="E77" s="82">
        <f>'6) Year 1 Budget'!E74</f>
        <v>78000</v>
      </c>
      <c r="F77" s="82">
        <f>'5) Year 1-5 Staff Assumptions'!F67</f>
        <v>80340</v>
      </c>
      <c r="G77" s="82">
        <f>'5) Year 1-5 Staff Assumptions'!G67</f>
        <v>82750.2</v>
      </c>
      <c r="H77" s="82">
        <f>'5) Year 1-5 Staff Assumptions'!H67</f>
        <v>85232.706000000006</v>
      </c>
      <c r="I77" s="82">
        <f>'5) Year 1-5 Staff Assumptions'!I67</f>
        <v>87789.687180000008</v>
      </c>
      <c r="J77" s="107"/>
      <c r="K77" s="9"/>
    </row>
    <row r="78" spans="1:11">
      <c r="A78" s="45"/>
      <c r="B78" s="27" t="str">
        <f>'[4]5) Year 1-5 Staff Assumptions'!B68</f>
        <v>Custodial Staff</v>
      </c>
      <c r="C78" s="86"/>
      <c r="D78" s="45"/>
      <c r="E78" s="82">
        <f>'6) Year 1 Budget'!E75</f>
        <v>22800</v>
      </c>
      <c r="F78" s="82">
        <f>'5) Year 1-5 Staff Assumptions'!F68</f>
        <v>23484</v>
      </c>
      <c r="G78" s="82">
        <f>'5) Year 1-5 Staff Assumptions'!G68</f>
        <v>48377.04</v>
      </c>
      <c r="H78" s="82">
        <f>'5) Year 1-5 Staff Assumptions'!H68</f>
        <v>49828.351199999997</v>
      </c>
      <c r="I78" s="82">
        <f>'5) Year 1-5 Staff Assumptions'!I68</f>
        <v>51323.201736000003</v>
      </c>
      <c r="J78" s="107"/>
      <c r="K78" s="9"/>
    </row>
    <row r="79" spans="1:11">
      <c r="A79" s="45"/>
      <c r="B79" s="27" t="str">
        <f>'[4]5) Year 1-5 Staff Assumptions'!B69</f>
        <v>Operations</v>
      </c>
      <c r="C79" s="86"/>
      <c r="D79" s="45"/>
      <c r="E79" s="82">
        <f>'6) Year 1 Budget'!E76</f>
        <v>243510</v>
      </c>
      <c r="F79" s="82">
        <f>'5) Year 1-5 Staff Assumptions'!F69</f>
        <v>250815.30000000002</v>
      </c>
      <c r="G79" s="82">
        <f>'5) Year 1-5 Staff Assumptions'!G69</f>
        <v>258339.75899999999</v>
      </c>
      <c r="H79" s="82">
        <f>'5) Year 1-5 Staff Assumptions'!H69</f>
        <v>266089.95176999999</v>
      </c>
      <c r="I79" s="82">
        <f>'5) Year 1-5 Staff Assumptions'!I69</f>
        <v>274072.65032310004</v>
      </c>
      <c r="J79" s="107"/>
      <c r="K79" s="9"/>
    </row>
    <row r="80" spans="1:11">
      <c r="A80" s="45"/>
      <c r="B80" s="27" t="str">
        <f>'[4]5) Year 1-5 Staff Assumptions'!B70</f>
        <v>Social Workers/Counseling</v>
      </c>
      <c r="C80" s="86"/>
      <c r="D80" s="45"/>
      <c r="E80" s="82">
        <f>'6) Year 1 Budget'!E77</f>
        <v>37372</v>
      </c>
      <c r="F80" s="82">
        <f>'5) Year 1-5 Staff Assumptions'!F70</f>
        <v>38493.160000000003</v>
      </c>
      <c r="G80" s="82">
        <f>'5) Year 1-5 Staff Assumptions'!G70</f>
        <v>39647.9548</v>
      </c>
      <c r="H80" s="82">
        <f>'5) Year 1-5 Staff Assumptions'!H70</f>
        <v>40837.393444000001</v>
      </c>
      <c r="I80" s="82">
        <f>'5) Year 1-5 Staff Assumptions'!I70</f>
        <v>42062.515247320007</v>
      </c>
      <c r="J80" s="107"/>
      <c r="K80" s="9"/>
    </row>
    <row r="81" spans="1:11">
      <c r="A81" s="45"/>
      <c r="B81" s="27" t="str">
        <f>'[4]5) Year 1-5 Staff Assumptions'!B71</f>
        <v>Other (Specify in Assumptions)</v>
      </c>
      <c r="C81" s="86"/>
      <c r="D81" s="45"/>
      <c r="E81" s="82">
        <f>'6) Year 1 Budget'!E78</f>
        <v>26000</v>
      </c>
      <c r="F81" s="82">
        <f>'5) Year 1-5 Staff Assumptions'!F71</f>
        <v>26780</v>
      </c>
      <c r="G81" s="82">
        <f>'5) Year 1-5 Staff Assumptions'!G71</f>
        <v>27583.399999999998</v>
      </c>
      <c r="H81" s="82">
        <f>'5) Year 1-5 Staff Assumptions'!H71</f>
        <v>28410.902000000002</v>
      </c>
      <c r="I81" s="82">
        <f>'5) Year 1-5 Staff Assumptions'!I71</f>
        <v>29263.229060000005</v>
      </c>
      <c r="J81" s="107"/>
      <c r="K81" s="9"/>
    </row>
    <row r="82" spans="1:11">
      <c r="A82" s="45"/>
      <c r="B82" s="29" t="str">
        <f>'[4]5) Year 1-5 Staff Assumptions'!B72</f>
        <v>Total Non-Instructional  Compensation</v>
      </c>
      <c r="C82" s="59"/>
      <c r="D82" s="42"/>
      <c r="E82" s="82">
        <f>'6) Year 1 Budget'!E79</f>
        <v>407682</v>
      </c>
      <c r="F82" s="82">
        <f>'5) Year 1-5 Staff Assumptions'!F72</f>
        <v>419912.46000000008</v>
      </c>
      <c r="G82" s="82">
        <f>'5) Year 1-5 Staff Assumptions'!G72</f>
        <v>456698.35379999998</v>
      </c>
      <c r="H82" s="82">
        <f>'5) Year 1-5 Staff Assumptions'!H72</f>
        <v>470399.30441399995</v>
      </c>
      <c r="I82" s="82">
        <f>'5) Year 1-5 Staff Assumptions'!I72</f>
        <v>484511.28354642005</v>
      </c>
      <c r="J82" s="109"/>
      <c r="K82" s="9"/>
    </row>
    <row r="83" spans="1:11">
      <c r="A83" s="45"/>
      <c r="B83" s="27"/>
      <c r="C83" s="45"/>
      <c r="D83" s="45"/>
      <c r="E83" s="77"/>
      <c r="F83" s="77"/>
      <c r="G83" s="77"/>
      <c r="H83" s="77"/>
      <c r="I83" s="77"/>
      <c r="J83" s="77"/>
      <c r="K83" s="9"/>
    </row>
    <row r="84" spans="1:11">
      <c r="A84" s="45"/>
      <c r="B84" s="27" t="s">
        <v>775</v>
      </c>
      <c r="C84" s="45"/>
      <c r="D84" s="45"/>
      <c r="E84" s="82">
        <f>'6) Year 1 Budget'!E81</f>
        <v>25000</v>
      </c>
      <c r="F84" s="82">
        <f>'5) Year 1-5 Staff Assumptions'!F74</f>
        <v>28000</v>
      </c>
      <c r="G84" s="82">
        <f>'5) Year 1-5 Staff Assumptions'!G74</f>
        <v>39600</v>
      </c>
      <c r="H84" s="82">
        <f>'5) Year 1-5 Staff Assumptions'!H74</f>
        <v>56000</v>
      </c>
      <c r="I84" s="82">
        <f>'5) Year 1-5 Staff Assumptions'!I74</f>
        <v>60000</v>
      </c>
      <c r="J84" s="107"/>
      <c r="K84" s="9"/>
    </row>
    <row r="85" spans="1:11">
      <c r="A85" s="45"/>
      <c r="B85" s="27" t="s">
        <v>809</v>
      </c>
      <c r="C85" s="45"/>
      <c r="D85" s="45"/>
      <c r="E85" s="82">
        <f>'6) Year 1 Budget'!E82</f>
        <v>0</v>
      </c>
      <c r="F85" s="82">
        <f>'5) Year 1-5 Staff Assumptions'!F75</f>
        <v>0</v>
      </c>
      <c r="G85" s="82">
        <f>'5) Year 1-5 Staff Assumptions'!G75</f>
        <v>6242</v>
      </c>
      <c r="H85" s="82">
        <f>'5) Year 1-5 Staff Assumptions'!H75</f>
        <v>6367</v>
      </c>
      <c r="I85" s="82">
        <f>'5) Year 1-5 Staff Assumptions'!I75</f>
        <v>8118</v>
      </c>
      <c r="J85" s="107"/>
      <c r="K85" s="9"/>
    </row>
    <row r="86" spans="1:11">
      <c r="A86" s="45"/>
      <c r="B86" s="27" t="s">
        <v>777</v>
      </c>
      <c r="C86" s="45"/>
      <c r="D86" s="45"/>
      <c r="E86" s="82">
        <f>'6) Year 1 Budget'!E83</f>
        <v>39270</v>
      </c>
      <c r="F86" s="82">
        <f>'5) Year 1-5 Staff Assumptions'!F76</f>
        <v>39270</v>
      </c>
      <c r="G86" s="82">
        <f>'5) Year 1-5 Staff Assumptions'!G76</f>
        <v>39270</v>
      </c>
      <c r="H86" s="82">
        <f>'5) Year 1-5 Staff Assumptions'!H76</f>
        <v>39270</v>
      </c>
      <c r="I86" s="82">
        <f>'5) Year 1-5 Staff Assumptions'!I76</f>
        <v>39270</v>
      </c>
      <c r="J86" s="107"/>
      <c r="K86" s="9"/>
    </row>
    <row r="87" spans="1:11">
      <c r="A87" s="45"/>
      <c r="B87" s="27" t="s">
        <v>810</v>
      </c>
      <c r="C87" s="45"/>
      <c r="D87" s="45"/>
      <c r="E87" s="82">
        <f>'6) Year 1 Budget'!E84</f>
        <v>3100</v>
      </c>
      <c r="F87" s="82">
        <f>'5) Year 1-5 Staff Assumptions'!F77</f>
        <v>3100</v>
      </c>
      <c r="G87" s="82">
        <f>'5) Year 1-5 Staff Assumptions'!G77</f>
        <v>3100</v>
      </c>
      <c r="H87" s="82">
        <f>'5) Year 1-5 Staff Assumptions'!H77</f>
        <v>9000</v>
      </c>
      <c r="I87" s="82">
        <f>'5) Year 1-5 Staff Assumptions'!I77</f>
        <v>9500</v>
      </c>
      <c r="J87" s="107"/>
      <c r="K87" s="9"/>
    </row>
    <row r="88" spans="1:11">
      <c r="A88" s="45"/>
      <c r="B88" s="27"/>
      <c r="C88" s="45"/>
      <c r="D88" s="45"/>
      <c r="E88" s="77"/>
      <c r="F88" s="77"/>
      <c r="G88" s="77"/>
      <c r="H88" s="77"/>
      <c r="I88" s="77"/>
      <c r="J88" s="77"/>
      <c r="K88" s="9"/>
    </row>
    <row r="89" spans="1:11" ht="15.75" thickBot="1">
      <c r="A89" s="45"/>
      <c r="B89" s="29" t="str">
        <f>'[4]5) Year 1-5 Staff Assumptions'!B79</f>
        <v>Total Compensation</v>
      </c>
      <c r="C89" s="42"/>
      <c r="D89" s="42"/>
      <c r="E89" s="54">
        <f>'6) Year 1 Budget'!E86</f>
        <v>1096812</v>
      </c>
      <c r="F89" s="54">
        <f>'5) Year 1-5 Staff Assumptions'!F79</f>
        <v>1303735.2600000002</v>
      </c>
      <c r="G89" s="54">
        <f>'5) Year 1-5 Staff Assumptions'!G79</f>
        <v>1694671.3377999999</v>
      </c>
      <c r="H89" s="54">
        <f>'5) Year 1-5 Staff Assumptions'!H79</f>
        <v>1994762.7879340001</v>
      </c>
      <c r="I89" s="54">
        <f>'5) Year 1-5 Staff Assumptions'!I79</f>
        <v>2199351.6716320203</v>
      </c>
      <c r="J89" s="55"/>
      <c r="K89" s="9"/>
    </row>
    <row r="90" spans="1:11" ht="15.75" thickTop="1">
      <c r="A90" s="45"/>
      <c r="B90" s="34"/>
      <c r="C90" s="45"/>
      <c r="D90" s="45"/>
      <c r="E90" s="85"/>
      <c r="F90" s="85"/>
      <c r="G90" s="85"/>
      <c r="H90" s="85"/>
      <c r="I90" s="85"/>
      <c r="J90" s="85"/>
      <c r="K90" s="9"/>
    </row>
    <row r="91" spans="1:11" ht="15.75" thickBot="1">
      <c r="A91" s="45"/>
      <c r="B91" s="121"/>
      <c r="C91" s="148"/>
      <c r="D91" s="148"/>
      <c r="E91" s="156"/>
      <c r="F91" s="156"/>
      <c r="G91" s="156"/>
      <c r="H91" s="156"/>
      <c r="I91" s="156"/>
      <c r="J91" s="156"/>
      <c r="K91" s="22"/>
    </row>
    <row r="92" spans="1:11" ht="14.85" customHeight="1">
      <c r="A92" s="45"/>
      <c r="B92" s="795" t="s">
        <v>204</v>
      </c>
      <c r="C92" s="780"/>
      <c r="D92" s="780"/>
      <c r="E92" s="780"/>
      <c r="F92" s="780"/>
      <c r="G92" s="780"/>
      <c r="H92" s="780"/>
      <c r="I92" s="780"/>
      <c r="J92" s="780"/>
      <c r="K92" s="796"/>
    </row>
    <row r="93" spans="1:11" ht="14.85" customHeight="1">
      <c r="A93" s="45"/>
      <c r="B93" s="8"/>
      <c r="K93" s="9"/>
    </row>
    <row r="94" spans="1:11">
      <c r="A94" s="45"/>
      <c r="B94" s="8"/>
      <c r="E94" s="83" t="s">
        <v>42</v>
      </c>
      <c r="F94" s="83" t="s">
        <v>43</v>
      </c>
      <c r="G94" s="83" t="s">
        <v>44</v>
      </c>
      <c r="H94" s="83" t="s">
        <v>45</v>
      </c>
      <c r="I94" s="83" t="s">
        <v>46</v>
      </c>
      <c r="J94" s="73"/>
      <c r="K94" s="9"/>
    </row>
    <row r="95" spans="1:11">
      <c r="A95" s="45"/>
      <c r="B95" s="34"/>
      <c r="C95" s="42"/>
      <c r="D95" s="2"/>
      <c r="E95" s="84" t="str">
        <f>E11</f>
        <v>2024-25</v>
      </c>
      <c r="F95" s="84" t="str">
        <f t="shared" ref="F95:I95" si="16">F11</f>
        <v>2025-26</v>
      </c>
      <c r="G95" s="84" t="str">
        <f t="shared" si="16"/>
        <v>2026-27</v>
      </c>
      <c r="H95" s="84" t="str">
        <f t="shared" si="16"/>
        <v>2027-28</v>
      </c>
      <c r="I95" s="84" t="str">
        <f t="shared" si="16"/>
        <v>2028-29</v>
      </c>
      <c r="J95" s="85"/>
      <c r="K95" s="9"/>
    </row>
    <row r="96" spans="1:11">
      <c r="A96" s="45"/>
      <c r="B96" s="34"/>
      <c r="C96" s="42"/>
      <c r="D96" s="2"/>
      <c r="E96" s="85"/>
      <c r="F96" s="85"/>
      <c r="G96" s="85"/>
      <c r="H96" s="85"/>
      <c r="I96" s="85"/>
      <c r="J96" s="85"/>
      <c r="K96" s="9"/>
    </row>
    <row r="97" spans="1:11">
      <c r="A97" s="45"/>
      <c r="B97" s="34"/>
      <c r="C97" s="42"/>
      <c r="D97" s="2"/>
      <c r="E97" s="85"/>
      <c r="F97" s="85"/>
      <c r="G97" s="85"/>
      <c r="H97" s="85"/>
      <c r="I97" s="85"/>
      <c r="J97" s="47" t="s">
        <v>91</v>
      </c>
      <c r="K97" s="9"/>
    </row>
    <row r="98" spans="1:11">
      <c r="A98" s="45"/>
      <c r="B98" s="34" t="s">
        <v>232</v>
      </c>
      <c r="C98" s="45"/>
      <c r="D98" s="45"/>
      <c r="E98" s="629">
        <f>'6) Year 1 Budget'!E95</f>
        <v>68002.343999999997</v>
      </c>
      <c r="F98" s="629">
        <f>'5) Year 1-5 Staff Assumptions'!F86</f>
        <v>80831.586120000007</v>
      </c>
      <c r="G98" s="629">
        <f>'5) Year 1-5 Staff Assumptions'!G86</f>
        <v>105069.62294359998</v>
      </c>
      <c r="H98" s="629">
        <f>'5) Year 1-5 Staff Assumptions'!H86</f>
        <v>123675.292851908</v>
      </c>
      <c r="I98" s="629">
        <f>'5) Year 1-5 Staff Assumptions'!I86</f>
        <v>136359.80364118525</v>
      </c>
      <c r="J98" s="107"/>
      <c r="K98" s="9"/>
    </row>
    <row r="99" spans="1:11">
      <c r="A99" s="45"/>
      <c r="B99" s="34" t="s">
        <v>233</v>
      </c>
      <c r="C99" s="45"/>
      <c r="D99" s="45"/>
      <c r="E99" s="629">
        <f>'6) Year 1 Budget'!E96</f>
        <v>15903.774000000001</v>
      </c>
      <c r="F99" s="629">
        <f>'5) Year 1-5 Staff Assumptions'!F87</f>
        <v>18904.161270000004</v>
      </c>
      <c r="G99" s="629">
        <f>'5) Year 1-5 Staff Assumptions'!G87</f>
        <v>24572.734398099998</v>
      </c>
      <c r="H99" s="629">
        <f>'5) Year 1-5 Staff Assumptions'!H87</f>
        <v>28924.060425043004</v>
      </c>
      <c r="I99" s="629">
        <f>'5) Year 1-5 Staff Assumptions'!I87</f>
        <v>31890.599238664294</v>
      </c>
      <c r="J99" s="107"/>
      <c r="K99" s="9"/>
    </row>
    <row r="100" spans="1:11">
      <c r="A100" s="45"/>
      <c r="B100" s="34" t="s">
        <v>234</v>
      </c>
      <c r="C100" s="45"/>
      <c r="D100" s="45"/>
      <c r="E100" s="629">
        <f>'6) Year 1 Budget'!E97</f>
        <v>9200</v>
      </c>
      <c r="F100" s="629">
        <f>'5) Year 1-5 Staff Assumptions'!F88</f>
        <v>11200</v>
      </c>
      <c r="G100" s="629">
        <f>'5) Year 1-5 Staff Assumptions'!G88</f>
        <v>14400</v>
      </c>
      <c r="H100" s="629">
        <f>'5) Year 1-5 Staff Assumptions'!H88</f>
        <v>16400</v>
      </c>
      <c r="I100" s="629">
        <f>'5) Year 1-5 Staff Assumptions'!I88</f>
        <v>17600</v>
      </c>
      <c r="J100" s="107"/>
      <c r="K100" s="9"/>
    </row>
    <row r="101" spans="1:11">
      <c r="A101" s="45"/>
      <c r="B101" s="34" t="s">
        <v>235</v>
      </c>
      <c r="C101" s="45"/>
      <c r="D101" s="45"/>
      <c r="E101" s="629">
        <f>'6) Year 1 Budget'!E98</f>
        <v>3619.4796000000001</v>
      </c>
      <c r="F101" s="629">
        <f>'5) Year 1-5 Staff Assumptions'!F89</f>
        <v>4302.3263580000012</v>
      </c>
      <c r="G101" s="629">
        <f>'5) Year 1-5 Staff Assumptions'!G89</f>
        <v>5592.4154147399995</v>
      </c>
      <c r="H101" s="629">
        <f>'5) Year 1-5 Staff Assumptions'!H89</f>
        <v>6582.7172001822</v>
      </c>
      <c r="I101" s="629">
        <f>'5) Year 1-5 Staff Assumptions'!I89</f>
        <v>7257.8605163856664</v>
      </c>
      <c r="J101" s="107"/>
      <c r="K101" s="9"/>
    </row>
    <row r="102" spans="1:11">
      <c r="A102" s="45"/>
      <c r="B102" s="34" t="s">
        <v>236</v>
      </c>
      <c r="C102" s="45"/>
      <c r="D102" s="45"/>
      <c r="E102" s="629">
        <f>'6) Year 1 Budget'!E99</f>
        <v>3729.1607999999997</v>
      </c>
      <c r="F102" s="629">
        <f>'5) Year 1-5 Staff Assumptions'!F90</f>
        <v>4432.6998840000006</v>
      </c>
      <c r="G102" s="629">
        <f>'5) Year 1-5 Staff Assumptions'!G90</f>
        <v>5761.8825485199995</v>
      </c>
      <c r="H102" s="629">
        <f>'5) Year 1-5 Staff Assumptions'!H90</f>
        <v>6782.1934789755996</v>
      </c>
      <c r="I102" s="629">
        <f>'5) Year 1-5 Staff Assumptions'!I90</f>
        <v>7477.7956835488685</v>
      </c>
      <c r="J102" s="107"/>
      <c r="K102" s="9"/>
    </row>
    <row r="103" spans="1:11">
      <c r="A103" s="45"/>
      <c r="B103" s="34" t="s">
        <v>237</v>
      </c>
      <c r="C103" s="45"/>
      <c r="D103" s="45"/>
      <c r="E103" s="629">
        <f>'6) Year 1 Budget'!E100</f>
        <v>0</v>
      </c>
      <c r="F103" s="629">
        <f>'5) Year 1-5 Staff Assumptions'!F91</f>
        <v>0</v>
      </c>
      <c r="G103" s="629">
        <f>'5) Year 1-5 Staff Assumptions'!G91</f>
        <v>0</v>
      </c>
      <c r="H103" s="629">
        <f>'5) Year 1-5 Staff Assumptions'!H91</f>
        <v>0</v>
      </c>
      <c r="I103" s="629">
        <f>'5) Year 1-5 Staff Assumptions'!I91</f>
        <v>0</v>
      </c>
      <c r="J103" s="107"/>
      <c r="K103" s="9"/>
    </row>
    <row r="104" spans="1:11">
      <c r="A104" s="45"/>
      <c r="B104" s="34" t="s">
        <v>239</v>
      </c>
      <c r="C104" s="45"/>
      <c r="D104" s="45"/>
      <c r="E104" s="629">
        <f>'6) Year 1 Budget'!E101</f>
        <v>166267</v>
      </c>
      <c r="F104" s="629">
        <f>'5) Year 1-5 Staff Assumptions'!F96</f>
        <v>202412</v>
      </c>
      <c r="G104" s="629">
        <f>'5) Year 1-5 Staff Assumptions'!G96</f>
        <v>260244</v>
      </c>
      <c r="H104" s="629">
        <f>'5) Year 1-5 Staff Assumptions'!H96</f>
        <v>296389</v>
      </c>
      <c r="I104" s="629">
        <f>'5) Year 1-5 Staff Assumptions'!I96</f>
        <v>318076</v>
      </c>
      <c r="J104" s="107"/>
      <c r="K104" s="9"/>
    </row>
    <row r="105" spans="1:11">
      <c r="A105" s="45"/>
      <c r="B105" s="34" t="s">
        <v>240</v>
      </c>
      <c r="C105" s="45"/>
      <c r="D105" s="45"/>
      <c r="E105" s="629">
        <f>'6) Year 1 Budget'!E102</f>
        <v>12535</v>
      </c>
      <c r="F105" s="629">
        <f>'5) Year 1-5 Staff Assumptions'!F97</f>
        <v>15260</v>
      </c>
      <c r="G105" s="629">
        <f>'5) Year 1-5 Staff Assumptions'!G97</f>
        <v>19620</v>
      </c>
      <c r="H105" s="629">
        <f>'5) Year 1-5 Staff Assumptions'!H97</f>
        <v>22345</v>
      </c>
      <c r="I105" s="629">
        <f>'5) Year 1-5 Staff Assumptions'!I97</f>
        <v>23980</v>
      </c>
      <c r="J105" s="107"/>
      <c r="K105" s="9"/>
    </row>
    <row r="106" spans="1:11">
      <c r="A106" s="45"/>
      <c r="B106" s="34" t="s">
        <v>241</v>
      </c>
      <c r="C106" s="45"/>
      <c r="D106" s="45"/>
      <c r="E106" s="629">
        <f>'6) Year 1 Budget'!E103</f>
        <v>0</v>
      </c>
      <c r="F106" s="629">
        <f>'5) Year 1-5 Staff Assumptions'!F98</f>
        <v>0</v>
      </c>
      <c r="G106" s="629">
        <f>'5) Year 1-5 Staff Assumptions'!G98</f>
        <v>0</v>
      </c>
      <c r="H106" s="629">
        <f>'5) Year 1-5 Staff Assumptions'!H98</f>
        <v>0</v>
      </c>
      <c r="I106" s="629">
        <f>'5) Year 1-5 Staff Assumptions'!I98</f>
        <v>0</v>
      </c>
      <c r="J106" s="107"/>
      <c r="K106" s="9"/>
    </row>
    <row r="107" spans="1:11">
      <c r="A107" s="45"/>
      <c r="B107" s="34" t="s">
        <v>242</v>
      </c>
      <c r="C107" s="45"/>
      <c r="D107" s="45"/>
      <c r="E107" s="629">
        <f>'6) Year 1 Budget'!E104</f>
        <v>0</v>
      </c>
      <c r="F107" s="629">
        <f>'5) Year 1-5 Staff Assumptions'!F100</f>
        <v>0</v>
      </c>
      <c r="G107" s="629">
        <f>'5) Year 1-5 Staff Assumptions'!G100</f>
        <v>0</v>
      </c>
      <c r="H107" s="629">
        <f>'5) Year 1-5 Staff Assumptions'!H100</f>
        <v>0</v>
      </c>
      <c r="I107" s="629">
        <f>'5) Year 1-5 Staff Assumptions'!I100</f>
        <v>0</v>
      </c>
      <c r="J107" s="107"/>
      <c r="K107" s="9"/>
    </row>
    <row r="108" spans="1:11">
      <c r="A108" s="45"/>
      <c r="B108" s="34" t="s">
        <v>243</v>
      </c>
      <c r="C108" s="45"/>
      <c r="D108" s="45"/>
      <c r="E108" s="629">
        <f>'6) Year 1 Budget'!E105</f>
        <v>98713.08</v>
      </c>
      <c r="F108" s="629">
        <f>'5) Year 1-5 Staff Assumptions'!F101</f>
        <v>117336.17340000001</v>
      </c>
      <c r="G108" s="629">
        <f>'5) Year 1-5 Staff Assumptions'!G101</f>
        <v>152520.42040199999</v>
      </c>
      <c r="H108" s="629">
        <f>'5) Year 1-5 Staff Assumptions'!H101</f>
        <v>179528.65091406001</v>
      </c>
      <c r="I108" s="629">
        <f>'5) Year 1-5 Staff Assumptions'!I101</f>
        <v>197941.65044688183</v>
      </c>
      <c r="J108" s="107"/>
      <c r="K108" s="9"/>
    </row>
    <row r="109" spans="1:11">
      <c r="A109" s="45"/>
      <c r="B109" s="34" t="s">
        <v>244</v>
      </c>
      <c r="C109" s="45"/>
      <c r="D109" s="45"/>
      <c r="E109" s="629">
        <f>'6) Year 1 Budget'!E106</f>
        <v>0</v>
      </c>
      <c r="F109" s="629">
        <f>'5) Year 1-5 Staff Assumptions'!F102</f>
        <v>0</v>
      </c>
      <c r="G109" s="629">
        <f>'5) Year 1-5 Staff Assumptions'!G102</f>
        <v>0</v>
      </c>
      <c r="H109" s="629">
        <f>'5) Year 1-5 Staff Assumptions'!H102</f>
        <v>0</v>
      </c>
      <c r="I109" s="629">
        <f>'5) Year 1-5 Staff Assumptions'!I102</f>
        <v>0</v>
      </c>
      <c r="J109" s="107"/>
      <c r="K109" s="9"/>
    </row>
    <row r="110" spans="1:11">
      <c r="A110" s="45"/>
      <c r="B110" s="34" t="s">
        <v>245</v>
      </c>
      <c r="C110" s="45"/>
      <c r="D110" s="45"/>
      <c r="E110" s="629">
        <f>'6) Year 1 Budget'!E107</f>
        <v>0</v>
      </c>
      <c r="F110" s="629">
        <f>'5) Year 1-5 Staff Assumptions'!F103</f>
        <v>0</v>
      </c>
      <c r="G110" s="629">
        <f>'5) Year 1-5 Staff Assumptions'!G103</f>
        <v>0</v>
      </c>
      <c r="H110" s="629">
        <f>'5) Year 1-5 Staff Assumptions'!H103</f>
        <v>0</v>
      </c>
      <c r="I110" s="629">
        <f>'5) Year 1-5 Staff Assumptions'!I103</f>
        <v>0</v>
      </c>
      <c r="J110" s="107"/>
      <c r="K110" s="9"/>
    </row>
    <row r="111" spans="1:11">
      <c r="A111" s="45"/>
      <c r="B111" s="34" t="s">
        <v>246</v>
      </c>
      <c r="C111" s="45"/>
      <c r="D111" s="45"/>
      <c r="E111" s="629">
        <f>'6) Year 1 Budget'!E108</f>
        <v>0</v>
      </c>
      <c r="F111" s="629">
        <f>'5) Year 1-5 Staff Assumptions'!F104</f>
        <v>0</v>
      </c>
      <c r="G111" s="629">
        <f>'5) Year 1-5 Staff Assumptions'!G104</f>
        <v>0</v>
      </c>
      <c r="H111" s="629">
        <f>'5) Year 1-5 Staff Assumptions'!H104</f>
        <v>0</v>
      </c>
      <c r="I111" s="629">
        <f>'5) Year 1-5 Staff Assumptions'!I104</f>
        <v>0</v>
      </c>
      <c r="J111" s="107"/>
      <c r="K111" s="9"/>
    </row>
    <row r="112" spans="1:11">
      <c r="A112" s="45"/>
      <c r="B112" s="34" t="s">
        <v>247</v>
      </c>
      <c r="C112" s="45"/>
      <c r="D112" s="45"/>
      <c r="E112" s="629">
        <f>'6) Year 1 Budget'!E109</f>
        <v>0</v>
      </c>
      <c r="F112" s="629">
        <f>'5) Year 1-5 Staff Assumptions'!F105</f>
        <v>0</v>
      </c>
      <c r="G112" s="629">
        <f>'5) Year 1-5 Staff Assumptions'!G105</f>
        <v>0</v>
      </c>
      <c r="H112" s="629">
        <f>'5) Year 1-5 Staff Assumptions'!H105</f>
        <v>0</v>
      </c>
      <c r="I112" s="629">
        <f>'5) Year 1-5 Staff Assumptions'!I105</f>
        <v>0</v>
      </c>
      <c r="J112" s="107"/>
      <c r="K112" s="9"/>
    </row>
    <row r="113" spans="1:11">
      <c r="B113" s="8"/>
      <c r="K113" s="9"/>
    </row>
    <row r="114" spans="1:11" ht="15.75" thickBot="1">
      <c r="B114" s="29" t="s">
        <v>129</v>
      </c>
      <c r="C114" s="42"/>
      <c r="D114" s="42"/>
      <c r="E114" s="54">
        <f>SUM(E98:E112)</f>
        <v>377969.83840000001</v>
      </c>
      <c r="F114" s="54">
        <f t="shared" ref="F114:I114" si="17">SUM(F98:F112)</f>
        <v>454678.94703200005</v>
      </c>
      <c r="G114" s="54">
        <f t="shared" si="17"/>
        <v>587781.07570695993</v>
      </c>
      <c r="H114" s="54">
        <f t="shared" si="17"/>
        <v>680626.91487016878</v>
      </c>
      <c r="I114" s="54">
        <f t="shared" si="17"/>
        <v>740583.70952666597</v>
      </c>
      <c r="J114" s="55"/>
      <c r="K114" s="9"/>
    </row>
    <row r="115" spans="1:11" ht="15.75" thickTop="1">
      <c r="B115" s="29"/>
      <c r="C115" s="42"/>
      <c r="D115" s="42"/>
      <c r="E115" s="55"/>
      <c r="F115" s="55"/>
      <c r="G115" s="55"/>
      <c r="H115" s="55"/>
      <c r="I115" s="55"/>
      <c r="J115" s="55"/>
      <c r="K115" s="9"/>
    </row>
    <row r="116" spans="1:11" ht="15.75" thickBot="1">
      <c r="B116" s="134"/>
      <c r="C116" s="135"/>
      <c r="D116" s="135"/>
      <c r="E116" s="136"/>
      <c r="F116" s="136"/>
      <c r="G116" s="136"/>
      <c r="H116" s="136"/>
      <c r="I116" s="136"/>
      <c r="J116" s="136"/>
      <c r="K116" s="22"/>
    </row>
    <row r="117" spans="1:11" ht="15" customHeight="1">
      <c r="B117" s="795" t="s">
        <v>130</v>
      </c>
      <c r="C117" s="780"/>
      <c r="D117" s="780"/>
      <c r="E117" s="780"/>
      <c r="F117" s="780"/>
      <c r="G117" s="780"/>
      <c r="H117" s="780"/>
      <c r="I117" s="780"/>
      <c r="J117" s="780"/>
      <c r="K117" s="796"/>
    </row>
    <row r="118" spans="1:11">
      <c r="B118" s="29"/>
      <c r="C118" s="42"/>
      <c r="D118" s="42"/>
      <c r="E118" s="42"/>
      <c r="F118" s="42"/>
      <c r="G118" s="42"/>
      <c r="H118" s="42"/>
      <c r="I118" s="42"/>
      <c r="J118" s="42"/>
      <c r="K118" s="9"/>
    </row>
    <row r="119" spans="1:11">
      <c r="B119" s="29"/>
      <c r="C119" s="42"/>
      <c r="D119" s="42"/>
      <c r="E119" s="83" t="s">
        <v>42</v>
      </c>
      <c r="F119" s="83" t="s">
        <v>43</v>
      </c>
      <c r="G119" s="83" t="s">
        <v>44</v>
      </c>
      <c r="H119" s="83" t="s">
        <v>45</v>
      </c>
      <c r="I119" s="83" t="s">
        <v>46</v>
      </c>
      <c r="J119" s="73"/>
      <c r="K119" s="9"/>
    </row>
    <row r="120" spans="1:11">
      <c r="B120" s="29"/>
      <c r="C120" s="42"/>
      <c r="D120" s="42"/>
      <c r="E120" s="84" t="str">
        <f>E11</f>
        <v>2024-25</v>
      </c>
      <c r="F120" s="84" t="str">
        <f t="shared" ref="F120:I120" si="18">F11</f>
        <v>2025-26</v>
      </c>
      <c r="G120" s="84" t="str">
        <f t="shared" si="18"/>
        <v>2026-27</v>
      </c>
      <c r="H120" s="84" t="str">
        <f t="shared" si="18"/>
        <v>2027-28</v>
      </c>
      <c r="I120" s="84" t="str">
        <f t="shared" si="18"/>
        <v>2028-29</v>
      </c>
      <c r="J120" s="85"/>
      <c r="K120" s="9"/>
    </row>
    <row r="121" spans="1:11">
      <c r="A121" s="45"/>
      <c r="B121" s="34"/>
      <c r="C121" s="42" t="s">
        <v>131</v>
      </c>
      <c r="D121" s="2"/>
      <c r="E121" s="94">
        <v>0</v>
      </c>
      <c r="F121" s="69">
        <v>2.5000000000000001E-2</v>
      </c>
      <c r="G121" s="69">
        <v>2.5000000000000001E-2</v>
      </c>
      <c r="H121" s="69">
        <v>2.5000000000000001E-2</v>
      </c>
      <c r="I121" s="69">
        <v>2.5000000000000001E-2</v>
      </c>
      <c r="J121" s="105"/>
      <c r="K121" s="9"/>
    </row>
    <row r="122" spans="1:11">
      <c r="A122" s="45"/>
      <c r="B122" s="34"/>
      <c r="C122" s="45" t="s">
        <v>87</v>
      </c>
      <c r="D122" s="2"/>
      <c r="E122" s="76">
        <f>100%+E121</f>
        <v>1</v>
      </c>
      <c r="F122" s="76">
        <f>E122*(1+F121)</f>
        <v>1.0249999999999999</v>
      </c>
      <c r="G122" s="76">
        <f t="shared" ref="G122:I122" si="19">F122*(1+G121)</f>
        <v>1.0506249999999999</v>
      </c>
      <c r="H122" s="76">
        <f t="shared" si="19"/>
        <v>1.0768906249999999</v>
      </c>
      <c r="I122" s="76">
        <f t="shared" si="19"/>
        <v>1.1038128906249998</v>
      </c>
      <c r="J122" s="76"/>
      <c r="K122" s="9"/>
    </row>
    <row r="123" spans="1:11">
      <c r="B123" s="29"/>
      <c r="C123" s="42"/>
      <c r="D123" s="42"/>
      <c r="E123" s="55"/>
      <c r="F123" s="55"/>
      <c r="G123" s="55"/>
      <c r="H123" s="55"/>
      <c r="I123" s="55"/>
      <c r="J123" s="55"/>
      <c r="K123" s="9"/>
    </row>
    <row r="124" spans="1:11">
      <c r="B124" s="29" t="s">
        <v>132</v>
      </c>
      <c r="C124" s="42"/>
      <c r="D124" s="42"/>
      <c r="E124" s="55"/>
      <c r="F124" s="55"/>
      <c r="G124" s="55"/>
      <c r="H124" s="55"/>
      <c r="I124" s="55"/>
      <c r="J124" s="47" t="s">
        <v>91</v>
      </c>
      <c r="K124" s="9"/>
    </row>
    <row r="125" spans="1:11">
      <c r="B125" s="34" t="str">
        <f>'6) Year 1 Budget'!B122</f>
        <v>Professional Development</v>
      </c>
      <c r="C125" s="65">
        <v>0</v>
      </c>
      <c r="E125" s="82">
        <f>'6) Year 1 Budget'!E122</f>
        <v>100000</v>
      </c>
      <c r="F125" s="65">
        <v>109307</v>
      </c>
      <c r="G125" s="65">
        <v>161585</v>
      </c>
      <c r="H125" s="65">
        <v>215974</v>
      </c>
      <c r="I125" s="65">
        <v>268780</v>
      </c>
      <c r="J125" s="106"/>
      <c r="K125" s="9"/>
    </row>
    <row r="126" spans="1:11">
      <c r="B126" s="34" t="str">
        <f>'6) Year 1 Budget'!B123</f>
        <v>Financial Services</v>
      </c>
      <c r="C126" s="65">
        <v>0</v>
      </c>
      <c r="E126" s="82">
        <f>'6) Year 1 Budget'!E123</f>
        <v>48000</v>
      </c>
      <c r="F126" s="65">
        <f t="shared" ref="F126:I126" si="20">E126*(1+F$121)</f>
        <v>49199.999999999993</v>
      </c>
      <c r="G126" s="65">
        <f t="shared" si="20"/>
        <v>50429.999999999985</v>
      </c>
      <c r="H126" s="65">
        <f t="shared" si="20"/>
        <v>51690.749999999978</v>
      </c>
      <c r="I126" s="65">
        <f t="shared" si="20"/>
        <v>52983.018749999974</v>
      </c>
      <c r="J126" s="106"/>
      <c r="K126" s="9"/>
    </row>
    <row r="127" spans="1:11">
      <c r="B127" s="34" t="str">
        <f>'6) Year 1 Budget'!B124</f>
        <v>Audit Services</v>
      </c>
      <c r="C127" s="65">
        <v>0</v>
      </c>
      <c r="E127" s="82">
        <f>'6) Year 1 Budget'!E124</f>
        <v>12000</v>
      </c>
      <c r="F127" s="65">
        <f t="shared" ref="F127:I127" si="21">E127*(1+F$121)</f>
        <v>12299.999999999998</v>
      </c>
      <c r="G127" s="65">
        <f t="shared" si="21"/>
        <v>12607.499999999996</v>
      </c>
      <c r="H127" s="65">
        <f t="shared" si="21"/>
        <v>12922.687499999995</v>
      </c>
      <c r="I127" s="65">
        <f t="shared" si="21"/>
        <v>13245.754687499993</v>
      </c>
      <c r="J127" s="106"/>
      <c r="K127" s="9"/>
    </row>
    <row r="128" spans="1:11">
      <c r="B128" s="34" t="str">
        <f>'6) Year 1 Budget'!B125</f>
        <v>Legal Fees</v>
      </c>
      <c r="C128" s="65">
        <v>0</v>
      </c>
      <c r="E128" s="82">
        <f>'6) Year 1 Budget'!E125</f>
        <v>5000</v>
      </c>
      <c r="F128" s="65">
        <f t="shared" ref="F128:I128" si="22">E128*(1+F$121)</f>
        <v>5125</v>
      </c>
      <c r="G128" s="65">
        <f t="shared" si="22"/>
        <v>5253.1249999999991</v>
      </c>
      <c r="H128" s="65">
        <f t="shared" si="22"/>
        <v>5384.4531249999982</v>
      </c>
      <c r="I128" s="65">
        <f t="shared" si="22"/>
        <v>5519.0644531249973</v>
      </c>
      <c r="J128" s="106"/>
      <c r="K128" s="9"/>
    </row>
    <row r="129" spans="2:11">
      <c r="B129" s="34" t="str">
        <f>'6) Year 1 Budget'!B126</f>
        <v>Copier Lease and Usage</v>
      </c>
      <c r="C129" s="65">
        <v>0</v>
      </c>
      <c r="E129" s="82">
        <f>'6) Year 1 Budget'!E126</f>
        <v>2436</v>
      </c>
      <c r="F129" s="65">
        <f t="shared" ref="F129:I129" si="23">E129*(1+F$121)</f>
        <v>2496.8999999999996</v>
      </c>
      <c r="G129" s="65">
        <f t="shared" si="23"/>
        <v>2559.3224999999993</v>
      </c>
      <c r="H129" s="65">
        <f t="shared" si="23"/>
        <v>2623.3055624999993</v>
      </c>
      <c r="I129" s="65">
        <f t="shared" si="23"/>
        <v>2688.888201562499</v>
      </c>
      <c r="J129" s="106"/>
      <c r="K129" s="9"/>
    </row>
    <row r="130" spans="2:11">
      <c r="B130" s="34" t="str">
        <f>'6) Year 1 Budget'!B127</f>
        <v>Internet and Phone Service</v>
      </c>
      <c r="C130" s="65">
        <v>0</v>
      </c>
      <c r="E130" s="82">
        <f>'6) Year 1 Budget'!E127</f>
        <v>22704</v>
      </c>
      <c r="F130" s="65">
        <f t="shared" ref="F130:I130" si="24">E130*(1+F$121)</f>
        <v>23271.599999999999</v>
      </c>
      <c r="G130" s="65">
        <f t="shared" si="24"/>
        <v>23853.389999999996</v>
      </c>
      <c r="H130" s="65">
        <f t="shared" si="24"/>
        <v>24449.724749999994</v>
      </c>
      <c r="I130" s="65">
        <f t="shared" si="24"/>
        <v>25060.967868749991</v>
      </c>
      <c r="J130" s="106"/>
      <c r="K130" s="9"/>
    </row>
    <row r="131" spans="2:11">
      <c r="B131" s="34" t="str">
        <f>'6) Year 1 Budget'!B128</f>
        <v>Cell Phone Service</v>
      </c>
      <c r="C131" s="65">
        <v>0</v>
      </c>
      <c r="E131" s="82">
        <f>'6) Year 1 Budget'!E128</f>
        <v>600</v>
      </c>
      <c r="F131" s="65">
        <f t="shared" ref="F131:I131" si="25">E131*(1+F$121)</f>
        <v>615</v>
      </c>
      <c r="G131" s="65">
        <f t="shared" si="25"/>
        <v>630.375</v>
      </c>
      <c r="H131" s="65">
        <f t="shared" si="25"/>
        <v>646.13437499999998</v>
      </c>
      <c r="I131" s="65">
        <f t="shared" si="25"/>
        <v>662.2877343749999</v>
      </c>
      <c r="J131" s="106"/>
      <c r="K131" s="9"/>
    </row>
    <row r="132" spans="2:11">
      <c r="B132" s="34" t="str">
        <f>'6) Year 1 Budget'!B129</f>
        <v>Payroll Services</v>
      </c>
      <c r="C132" s="65">
        <v>0</v>
      </c>
      <c r="E132" s="82">
        <f>'6) Year 1 Budget'!E129</f>
        <v>0</v>
      </c>
      <c r="F132" s="65">
        <f t="shared" ref="F132:I132" si="26">E132*(1+F$121)</f>
        <v>0</v>
      </c>
      <c r="G132" s="65">
        <f t="shared" si="26"/>
        <v>0</v>
      </c>
      <c r="H132" s="65">
        <f t="shared" si="26"/>
        <v>0</v>
      </c>
      <c r="I132" s="65">
        <f t="shared" si="26"/>
        <v>0</v>
      </c>
      <c r="J132" s="106"/>
      <c r="K132" s="9"/>
    </row>
    <row r="133" spans="2:11">
      <c r="B133" s="34" t="str">
        <f>'6) Year 1 Budget'!B130</f>
        <v>Health Services</v>
      </c>
      <c r="C133" s="65">
        <v>0</v>
      </c>
      <c r="E133" s="82">
        <f>'6) Year 1 Budget'!E130</f>
        <v>0</v>
      </c>
      <c r="F133" s="65">
        <f t="shared" ref="F133:I133" si="27">E133*(1+F$121)</f>
        <v>0</v>
      </c>
      <c r="G133" s="65">
        <f t="shared" si="27"/>
        <v>0</v>
      </c>
      <c r="H133" s="65">
        <f t="shared" si="27"/>
        <v>0</v>
      </c>
      <c r="I133" s="65">
        <f t="shared" si="27"/>
        <v>0</v>
      </c>
      <c r="J133" s="106"/>
      <c r="K133" s="9"/>
    </row>
    <row r="134" spans="2:11">
      <c r="B134" s="34" t="str">
        <f>'6) Year 1 Budget'!B131</f>
        <v>Transportation</v>
      </c>
      <c r="C134" s="65">
        <v>0</v>
      </c>
      <c r="E134" s="82">
        <f>'6) Year 1 Budget'!E131</f>
        <v>102999</v>
      </c>
      <c r="F134" s="65">
        <f t="shared" ref="F134:I134" si="28">E134*(1+F$121)</f>
        <v>105573.97499999999</v>
      </c>
      <c r="G134" s="65">
        <f t="shared" si="28"/>
        <v>108213.32437499998</v>
      </c>
      <c r="H134" s="65">
        <f t="shared" si="28"/>
        <v>110918.65748437497</v>
      </c>
      <c r="I134" s="65">
        <f t="shared" si="28"/>
        <v>113691.62392148434</v>
      </c>
      <c r="J134" s="106"/>
      <c r="K134" s="9"/>
    </row>
    <row r="135" spans="2:11">
      <c r="B135" s="34" t="str">
        <f>'6) Year 1 Budget'!B132</f>
        <v>IT Services</v>
      </c>
      <c r="C135" s="65">
        <v>0</v>
      </c>
      <c r="E135" s="82">
        <f>'6) Year 1 Budget'!E132</f>
        <v>6362</v>
      </c>
      <c r="F135" s="65">
        <f t="shared" ref="F135:I135" si="29">E135*(1+F$121)</f>
        <v>6521.0499999999993</v>
      </c>
      <c r="G135" s="65">
        <f t="shared" si="29"/>
        <v>6684.0762499999983</v>
      </c>
      <c r="H135" s="65">
        <f t="shared" si="29"/>
        <v>6851.1781562499973</v>
      </c>
      <c r="I135" s="65">
        <f t="shared" si="29"/>
        <v>7022.457610156247</v>
      </c>
      <c r="J135" s="106"/>
      <c r="K135" s="9"/>
    </row>
    <row r="136" spans="2:11">
      <c r="B136" s="34" t="str">
        <f>'6) Year 1 Budget'!B133</f>
        <v>Contracted SPED Services</v>
      </c>
      <c r="C136" s="65">
        <v>0</v>
      </c>
      <c r="E136" s="82">
        <f>'6) Year 1 Budget'!E133</f>
        <v>0</v>
      </c>
      <c r="F136" s="65">
        <f t="shared" ref="F136:I136" si="30">E136*(1+F$121)</f>
        <v>0</v>
      </c>
      <c r="G136" s="65">
        <f t="shared" si="30"/>
        <v>0</v>
      </c>
      <c r="H136" s="65">
        <f t="shared" si="30"/>
        <v>0</v>
      </c>
      <c r="I136" s="65">
        <f t="shared" si="30"/>
        <v>0</v>
      </c>
      <c r="J136" s="106"/>
      <c r="K136" s="9"/>
    </row>
    <row r="137" spans="2:11">
      <c r="B137" s="34" t="str">
        <f>'6) Year 1 Budget'!B134</f>
        <v>Insurance</v>
      </c>
      <c r="C137" s="65">
        <v>0</v>
      </c>
      <c r="E137" s="82">
        <f>'6) Year 1 Budget'!E134</f>
        <v>19623</v>
      </c>
      <c r="F137" s="65">
        <f t="shared" ref="F137:I137" si="31">E137*(1+F$121)</f>
        <v>20113.574999999997</v>
      </c>
      <c r="G137" s="65">
        <f t="shared" si="31"/>
        <v>20616.414374999997</v>
      </c>
      <c r="H137" s="65">
        <f t="shared" si="31"/>
        <v>21131.824734374994</v>
      </c>
      <c r="I137" s="65">
        <f t="shared" si="31"/>
        <v>21660.120352734368</v>
      </c>
      <c r="J137" s="106"/>
      <c r="K137" s="9"/>
    </row>
    <row r="138" spans="2:11">
      <c r="B138" s="34" t="str">
        <f>'6) Year 1 Budget'!B135</f>
        <v>Postal Charges</v>
      </c>
      <c r="C138" s="65">
        <v>0</v>
      </c>
      <c r="E138" s="82">
        <f>'6) Year 1 Budget'!E135</f>
        <v>3320</v>
      </c>
      <c r="F138" s="65">
        <f t="shared" ref="F138:I138" si="32">E138*(1+F$121)</f>
        <v>3402.9999999999995</v>
      </c>
      <c r="G138" s="65">
        <f t="shared" si="32"/>
        <v>3488.0749999999994</v>
      </c>
      <c r="H138" s="65">
        <f t="shared" si="32"/>
        <v>3575.2768749999991</v>
      </c>
      <c r="I138" s="65">
        <f t="shared" si="32"/>
        <v>3664.6587968749986</v>
      </c>
      <c r="J138" s="106"/>
      <c r="K138" s="9"/>
    </row>
    <row r="139" spans="2:11">
      <c r="B139" s="34" t="s">
        <v>760</v>
      </c>
      <c r="C139" s="65">
        <v>0</v>
      </c>
      <c r="E139" s="82">
        <f>'6) Year 1 Budget'!E136</f>
        <v>48888</v>
      </c>
      <c r="F139" s="65">
        <v>387518</v>
      </c>
      <c r="G139" s="65">
        <v>487066</v>
      </c>
      <c r="H139" s="65">
        <v>653928</v>
      </c>
      <c r="I139" s="65">
        <v>841204</v>
      </c>
      <c r="J139" s="106"/>
      <c r="K139" s="9"/>
    </row>
    <row r="140" spans="2:11">
      <c r="B140" s="29"/>
      <c r="C140" s="42"/>
      <c r="D140" s="42"/>
      <c r="E140" s="55"/>
      <c r="F140" s="55"/>
      <c r="G140" s="55"/>
      <c r="H140" s="55"/>
      <c r="I140" s="55"/>
      <c r="J140" s="55"/>
      <c r="K140" s="9"/>
    </row>
    <row r="141" spans="2:11">
      <c r="B141" s="29" t="s">
        <v>148</v>
      </c>
      <c r="C141" s="42"/>
      <c r="D141" s="42"/>
      <c r="E141" s="55"/>
      <c r="F141" s="55"/>
      <c r="G141" s="55"/>
      <c r="H141" s="55"/>
      <c r="I141" s="55"/>
      <c r="J141" s="55"/>
      <c r="K141" s="9"/>
    </row>
    <row r="142" spans="2:11">
      <c r="B142" s="34" t="str">
        <f>'6) Year 1 Budget'!B139</f>
        <v>Textbooks and Instructional Supplies</v>
      </c>
      <c r="C142" s="65">
        <v>0</v>
      </c>
      <c r="E142" s="631">
        <f>'6) Year 1 Budget'!E139</f>
        <v>21000</v>
      </c>
      <c r="F142" s="65">
        <v>41400</v>
      </c>
      <c r="G142" s="65">
        <v>61200</v>
      </c>
      <c r="H142" s="65">
        <v>81800</v>
      </c>
      <c r="I142" s="65">
        <v>101800</v>
      </c>
      <c r="J142" s="106" t="s">
        <v>756</v>
      </c>
      <c r="K142" s="9"/>
    </row>
    <row r="143" spans="2:11">
      <c r="B143" s="34" t="str">
        <f>'6) Year 1 Budget'!B140</f>
        <v>Education Software</v>
      </c>
      <c r="C143" s="65">
        <v>0</v>
      </c>
      <c r="E143" s="631">
        <f>'6) Year 1 Budget'!E140</f>
        <v>37702</v>
      </c>
      <c r="F143" s="65">
        <v>50000</v>
      </c>
      <c r="G143" s="65">
        <v>75000</v>
      </c>
      <c r="H143" s="65">
        <v>100000</v>
      </c>
      <c r="I143" s="65">
        <v>125000</v>
      </c>
      <c r="J143" s="106" t="s">
        <v>757</v>
      </c>
      <c r="K143" s="9"/>
    </row>
    <row r="144" spans="2:11">
      <c r="B144" s="34" t="str">
        <f>'6) Year 1 Budget'!B141</f>
        <v>Student Supplies</v>
      </c>
      <c r="C144" s="65">
        <v>0</v>
      </c>
      <c r="E144" s="631">
        <f>'6) Year 1 Budget'!E141</f>
        <v>36833</v>
      </c>
      <c r="F144" s="65">
        <v>30607</v>
      </c>
      <c r="G144" s="65">
        <v>31525</v>
      </c>
      <c r="H144" s="65">
        <v>33416</v>
      </c>
      <c r="I144" s="65">
        <v>35420</v>
      </c>
      <c r="J144" s="106" t="s">
        <v>750</v>
      </c>
      <c r="K144" s="9"/>
    </row>
    <row r="145" spans="2:11">
      <c r="B145" s="34" t="str">
        <f>'6) Year 1 Budget'!B142</f>
        <v>Faculty Supplies</v>
      </c>
      <c r="C145" s="65">
        <v>0</v>
      </c>
      <c r="E145" s="631">
        <f>'6) Year 1 Budget'!E142</f>
        <v>15000</v>
      </c>
      <c r="F145" s="65">
        <v>18000</v>
      </c>
      <c r="G145" s="65">
        <v>27000</v>
      </c>
      <c r="H145" s="65">
        <v>35000</v>
      </c>
      <c r="I145" s="65">
        <v>44000</v>
      </c>
      <c r="J145" s="106" t="s">
        <v>751</v>
      </c>
      <c r="K145" s="9"/>
    </row>
    <row r="146" spans="2:11">
      <c r="B146" s="34" t="str">
        <f>'6) Year 1 Budget'!B143</f>
        <v>Library Books</v>
      </c>
      <c r="C146" s="65">
        <v>0</v>
      </c>
      <c r="E146" s="631">
        <f>'6) Year 1 Budget'!E143</f>
        <v>15000</v>
      </c>
      <c r="F146" s="65">
        <v>20000</v>
      </c>
      <c r="G146" s="65">
        <v>25000</v>
      </c>
      <c r="H146" s="65">
        <v>25000</v>
      </c>
      <c r="I146" s="65">
        <v>25000</v>
      </c>
      <c r="J146" s="106"/>
      <c r="K146" s="9"/>
    </row>
    <row r="147" spans="2:11">
      <c r="B147" s="34" t="str">
        <f>'6) Year 1 Budget'!B144</f>
        <v>Testing &amp; Evaluation</v>
      </c>
      <c r="C147" s="65">
        <v>0</v>
      </c>
      <c r="E147" s="631">
        <f>'6) Year 1 Budget'!E144</f>
        <v>5000</v>
      </c>
      <c r="F147" s="65">
        <v>15525</v>
      </c>
      <c r="G147" s="65">
        <v>22950</v>
      </c>
      <c r="H147" s="65">
        <v>30675</v>
      </c>
      <c r="I147" s="65">
        <v>38175</v>
      </c>
      <c r="J147" s="106" t="s">
        <v>752</v>
      </c>
      <c r="K147" s="9"/>
    </row>
    <row r="148" spans="2:11">
      <c r="B148" s="34" t="str">
        <f>'6) Year 1 Budget'!B145</f>
        <v>Student Laptops</v>
      </c>
      <c r="C148" s="65">
        <v>0</v>
      </c>
      <c r="E148" s="631">
        <f>'6) Year 1 Budget'!E145</f>
        <v>31500</v>
      </c>
      <c r="F148" s="65">
        <v>30600</v>
      </c>
      <c r="G148" s="65">
        <v>29700</v>
      </c>
      <c r="H148" s="65">
        <v>30900</v>
      </c>
      <c r="I148" s="65">
        <v>30000</v>
      </c>
      <c r="J148" s="160" t="s">
        <v>761</v>
      </c>
      <c r="K148" s="9"/>
    </row>
    <row r="149" spans="2:11">
      <c r="B149" s="34" t="str">
        <f>'6) Year 1 Budget'!B146</f>
        <v>Faculty Laptops</v>
      </c>
      <c r="C149" s="65">
        <v>0</v>
      </c>
      <c r="E149" s="631">
        <f>'6) Year 1 Budget'!E146</f>
        <v>31500</v>
      </c>
      <c r="F149" s="65">
        <v>7500</v>
      </c>
      <c r="G149" s="65">
        <v>13500</v>
      </c>
      <c r="H149" s="65">
        <v>12000</v>
      </c>
      <c r="I149" s="65">
        <v>13500</v>
      </c>
      <c r="J149" s="160" t="s">
        <v>762</v>
      </c>
      <c r="K149" s="9"/>
    </row>
    <row r="150" spans="2:11">
      <c r="B150" s="34" t="str">
        <f>'6) Year 1 Budget'!B147</f>
        <v>Office Supplies</v>
      </c>
      <c r="C150" s="65">
        <v>0</v>
      </c>
      <c r="E150" s="631">
        <f>'6) Year 1 Budget'!E147</f>
        <v>19200</v>
      </c>
      <c r="F150" s="65">
        <v>37674</v>
      </c>
      <c r="G150" s="65">
        <v>55692</v>
      </c>
      <c r="H150" s="65">
        <v>74438</v>
      </c>
      <c r="I150" s="65">
        <v>92638</v>
      </c>
      <c r="J150" s="106" t="s">
        <v>753</v>
      </c>
      <c r="K150" s="9"/>
    </row>
    <row r="151" spans="2:11">
      <c r="B151" s="34" t="str">
        <f>'6) Year 1 Budget'!B148</f>
        <v>Printing Paper</v>
      </c>
      <c r="C151" s="65">
        <v>0</v>
      </c>
      <c r="E151" s="631">
        <f>'6) Year 1 Budget'!E148</f>
        <v>0</v>
      </c>
      <c r="F151" s="65">
        <v>0</v>
      </c>
      <c r="G151" s="65">
        <v>0</v>
      </c>
      <c r="H151" s="65">
        <v>0</v>
      </c>
      <c r="I151" s="65">
        <v>0</v>
      </c>
      <c r="J151" s="106" t="s">
        <v>754</v>
      </c>
      <c r="K151" s="9"/>
    </row>
    <row r="152" spans="2:11">
      <c r="B152" s="34" t="str">
        <f>'6) Year 1 Budget'!B149</f>
        <v>Marketing Materials</v>
      </c>
      <c r="C152" s="65">
        <v>0</v>
      </c>
      <c r="E152" s="631">
        <f>'6) Year 1 Budget'!E149</f>
        <v>19770</v>
      </c>
      <c r="F152" s="65">
        <v>19770</v>
      </c>
      <c r="G152" s="65">
        <v>19770</v>
      </c>
      <c r="H152" s="65">
        <v>19770</v>
      </c>
      <c r="I152" s="65">
        <v>19770</v>
      </c>
      <c r="J152" s="630"/>
      <c r="K152" s="9"/>
    </row>
    <row r="153" spans="2:11">
      <c r="B153" s="34" t="str">
        <f>'6) Year 1 Budget'!B150</f>
        <v>Student Uniforms</v>
      </c>
      <c r="C153" s="65">
        <v>0</v>
      </c>
      <c r="E153" s="631">
        <f>'6) Year 1 Budget'!E150</f>
        <v>6500</v>
      </c>
      <c r="F153" s="65">
        <v>12834</v>
      </c>
      <c r="G153" s="65">
        <v>18972</v>
      </c>
      <c r="H153" s="65">
        <v>25358</v>
      </c>
      <c r="I153" s="65">
        <v>31558</v>
      </c>
      <c r="J153" s="106" t="s">
        <v>755</v>
      </c>
      <c r="K153" s="9"/>
    </row>
    <row r="154" spans="2:11">
      <c r="B154" s="34" t="str">
        <f>'6) Year 1 Budget'!B151</f>
        <v>Gifts &amp; Awards - Students</v>
      </c>
      <c r="C154" s="65">
        <v>0</v>
      </c>
      <c r="E154" s="631">
        <f>'6) Year 1 Budget'!E151</f>
        <v>0</v>
      </c>
      <c r="F154" s="65">
        <v>5000</v>
      </c>
      <c r="G154" s="65">
        <v>5000</v>
      </c>
      <c r="H154" s="65">
        <v>5000</v>
      </c>
      <c r="I154" s="65">
        <v>5000</v>
      </c>
      <c r="J154" s="106"/>
      <c r="K154" s="9"/>
    </row>
    <row r="155" spans="2:11">
      <c r="B155" s="34" t="str">
        <f>'6) Year 1 Budget'!B152</f>
        <v>Gifts &amp; Awards - Teachers and Staff</v>
      </c>
      <c r="C155" s="65">
        <v>0</v>
      </c>
      <c r="E155" s="631">
        <f>'6) Year 1 Budget'!E152</f>
        <v>0</v>
      </c>
      <c r="F155" s="65">
        <v>2500</v>
      </c>
      <c r="G155" s="65">
        <v>2500</v>
      </c>
      <c r="H155" s="65">
        <v>2500</v>
      </c>
      <c r="I155" s="65">
        <v>2500</v>
      </c>
      <c r="J155" s="106"/>
      <c r="K155" s="9"/>
    </row>
    <row r="156" spans="2:11">
      <c r="B156" s="34" t="str">
        <f>'6) Year 1 Budget'!B153</f>
        <v>Health Supplies</v>
      </c>
      <c r="C156" s="65">
        <v>0</v>
      </c>
      <c r="E156" s="631">
        <f>'6) Year 1 Budget'!E153</f>
        <v>500</v>
      </c>
      <c r="F156" s="65">
        <v>1000</v>
      </c>
      <c r="G156" s="65">
        <v>1000</v>
      </c>
      <c r="H156" s="65">
        <v>1000</v>
      </c>
      <c r="I156" s="65">
        <v>1000</v>
      </c>
      <c r="J156" s="106"/>
      <c r="K156" s="9"/>
    </row>
    <row r="157" spans="2:11" ht="15.75" thickBot="1">
      <c r="B157" s="134"/>
      <c r="C157" s="135"/>
      <c r="D157" s="135"/>
      <c r="E157" s="136"/>
      <c r="F157" s="136"/>
      <c r="G157" s="136"/>
      <c r="H157" s="136"/>
      <c r="I157" s="136"/>
      <c r="J157" s="136"/>
      <c r="K157" s="22"/>
    </row>
    <row r="158" spans="2:11">
      <c r="B158" s="29" t="s">
        <v>164</v>
      </c>
      <c r="C158" s="42"/>
      <c r="D158" s="42"/>
      <c r="E158" s="55"/>
      <c r="F158" s="55"/>
      <c r="G158" s="55"/>
      <c r="H158" s="55"/>
      <c r="I158" s="55"/>
      <c r="J158" s="55"/>
      <c r="K158" s="9"/>
    </row>
    <row r="159" spans="2:11">
      <c r="B159" s="34" t="str">
        <f>'6) Year 1 Budget'!B156</f>
        <v>Rent</v>
      </c>
      <c r="C159" s="65">
        <v>0</v>
      </c>
      <c r="E159" s="82">
        <f>'6) Year 1 Budget'!E156</f>
        <v>85000</v>
      </c>
      <c r="F159" s="65">
        <v>150000</v>
      </c>
      <c r="G159" s="65">
        <v>225000</v>
      </c>
      <c r="H159" s="65">
        <v>230625</v>
      </c>
      <c r="I159" s="65">
        <v>236390</v>
      </c>
      <c r="J159" s="106"/>
      <c r="K159" s="9"/>
    </row>
    <row r="160" spans="2:11">
      <c r="B160" s="34" t="str">
        <f>'6) Year 1 Budget'!B157</f>
        <v>Utilities</v>
      </c>
      <c r="C160" s="65">
        <v>0</v>
      </c>
      <c r="E160" s="82">
        <f>'6) Year 1 Budget'!E157</f>
        <v>10000</v>
      </c>
      <c r="F160" s="65">
        <v>10200</v>
      </c>
      <c r="G160" s="65">
        <v>10404</v>
      </c>
      <c r="H160" s="65">
        <v>10612</v>
      </c>
      <c r="I160" s="65">
        <v>10824</v>
      </c>
      <c r="J160" s="106" t="s">
        <v>758</v>
      </c>
      <c r="K160" s="9"/>
    </row>
    <row r="161" spans="2:11">
      <c r="B161" s="34" t="str">
        <f>'6) Year 1 Budget'!B158</f>
        <v xml:space="preserve">Custodial </v>
      </c>
      <c r="C161" s="65">
        <v>0</v>
      </c>
      <c r="E161" s="82">
        <f>'6) Year 1 Budget'!E158</f>
        <v>10000</v>
      </c>
      <c r="F161" s="65">
        <f t="shared" ref="F161:F173" si="33">$E161*(1+F$121)</f>
        <v>10250</v>
      </c>
      <c r="G161" s="65">
        <v>45000</v>
      </c>
      <c r="H161" s="65">
        <v>45000</v>
      </c>
      <c r="I161" s="65">
        <v>50000</v>
      </c>
      <c r="J161" s="106"/>
      <c r="K161" s="9"/>
    </row>
    <row r="162" spans="2:11">
      <c r="B162" s="34" t="str">
        <f>'6) Year 1 Budget'!B159</f>
        <v>Waste</v>
      </c>
      <c r="C162" s="65">
        <v>0</v>
      </c>
      <c r="E162" s="82">
        <f>'6) Year 1 Budget'!E159</f>
        <v>2800</v>
      </c>
      <c r="F162" s="65">
        <f t="shared" si="33"/>
        <v>2869.9999999999995</v>
      </c>
      <c r="G162" s="65">
        <v>3000</v>
      </c>
      <c r="H162" s="65">
        <v>3000</v>
      </c>
      <c r="I162" s="65">
        <v>3200</v>
      </c>
      <c r="J162" s="106"/>
      <c r="K162" s="9"/>
    </row>
    <row r="163" spans="2:11">
      <c r="B163" s="34" t="str">
        <f>'6) Year 1 Budget'!B160</f>
        <v>Faculty Furniture</v>
      </c>
      <c r="C163" s="65">
        <v>0</v>
      </c>
      <c r="E163" s="82">
        <f>'6) Year 1 Budget'!E160</f>
        <v>35000</v>
      </c>
      <c r="F163" s="65">
        <f t="shared" si="33"/>
        <v>35875</v>
      </c>
      <c r="G163" s="65">
        <f t="shared" ref="G163:I173" si="34">$E163*(1+G$121)</f>
        <v>35875</v>
      </c>
      <c r="H163" s="65">
        <f t="shared" si="34"/>
        <v>35875</v>
      </c>
      <c r="I163" s="65">
        <f t="shared" si="34"/>
        <v>35875</v>
      </c>
      <c r="J163" s="106"/>
      <c r="K163" s="9"/>
    </row>
    <row r="164" spans="2:11">
      <c r="B164" s="34" t="str">
        <f>'6) Year 1 Budget'!B161</f>
        <v>Student Furniture</v>
      </c>
      <c r="C164" s="65">
        <v>0</v>
      </c>
      <c r="E164" s="82">
        <f>'6) Year 1 Budget'!E161</f>
        <v>0</v>
      </c>
      <c r="F164" s="65">
        <f t="shared" si="33"/>
        <v>0</v>
      </c>
      <c r="G164" s="65">
        <f t="shared" si="34"/>
        <v>0</v>
      </c>
      <c r="H164" s="65">
        <f t="shared" si="34"/>
        <v>0</v>
      </c>
      <c r="I164" s="65">
        <f t="shared" si="34"/>
        <v>0</v>
      </c>
      <c r="J164" s="106" t="s">
        <v>759</v>
      </c>
      <c r="K164" s="9"/>
    </row>
    <row r="165" spans="2:11">
      <c r="B165" s="34" t="str">
        <f>'6) Year 1 Budget'!B162</f>
        <v>Internet/Network Equipment</v>
      </c>
      <c r="C165" s="65">
        <v>0</v>
      </c>
      <c r="E165" s="82">
        <f>'6) Year 1 Budget'!E162</f>
        <v>20000</v>
      </c>
      <c r="F165" s="65">
        <f t="shared" si="33"/>
        <v>20500</v>
      </c>
      <c r="G165" s="65">
        <f t="shared" si="34"/>
        <v>20500</v>
      </c>
      <c r="H165" s="65">
        <f t="shared" si="34"/>
        <v>20500</v>
      </c>
      <c r="I165" s="65">
        <f t="shared" si="34"/>
        <v>20500</v>
      </c>
      <c r="J165" s="106"/>
      <c r="K165" s="9"/>
    </row>
    <row r="166" spans="2:11">
      <c r="B166" s="34" t="str">
        <f>'6) Year 1 Budget'!B163</f>
        <v>Other Equipment</v>
      </c>
      <c r="C166" s="65">
        <v>0</v>
      </c>
      <c r="E166" s="82">
        <f>'6) Year 1 Budget'!E163</f>
        <v>45000</v>
      </c>
      <c r="F166" s="65">
        <f t="shared" si="33"/>
        <v>46124.999999999993</v>
      </c>
      <c r="G166" s="65">
        <f t="shared" si="34"/>
        <v>46124.999999999993</v>
      </c>
      <c r="H166" s="65">
        <f t="shared" si="34"/>
        <v>46124.999999999993</v>
      </c>
      <c r="I166" s="65">
        <f t="shared" si="34"/>
        <v>46124.999999999993</v>
      </c>
      <c r="J166" s="106"/>
      <c r="K166" s="9"/>
    </row>
    <row r="167" spans="2:11">
      <c r="B167" s="34" t="str">
        <f>'6) Year 1 Budget'!B164</f>
        <v>Building Decorum</v>
      </c>
      <c r="C167" s="65">
        <v>0</v>
      </c>
      <c r="E167" s="82">
        <f>'6) Year 1 Budget'!E164</f>
        <v>10000</v>
      </c>
      <c r="F167" s="65">
        <f t="shared" si="33"/>
        <v>10250</v>
      </c>
      <c r="G167" s="65">
        <f t="shared" si="34"/>
        <v>10250</v>
      </c>
      <c r="H167" s="65">
        <f t="shared" si="34"/>
        <v>10250</v>
      </c>
      <c r="I167" s="65">
        <f t="shared" si="34"/>
        <v>10250</v>
      </c>
      <c r="J167" s="106"/>
      <c r="K167" s="9"/>
    </row>
    <row r="168" spans="2:11">
      <c r="B168" s="34" t="str">
        <f>'6) Year 1 Budget'!B165</f>
        <v>Tenant Improvements</v>
      </c>
      <c r="C168" s="65">
        <v>0</v>
      </c>
      <c r="E168" s="82">
        <f>'6) Year 1 Budget'!E165</f>
        <v>48000</v>
      </c>
      <c r="F168" s="65">
        <f t="shared" si="33"/>
        <v>49199.999999999993</v>
      </c>
      <c r="G168" s="65">
        <f t="shared" si="34"/>
        <v>49199.999999999993</v>
      </c>
      <c r="H168" s="65">
        <f t="shared" si="34"/>
        <v>49199.999999999993</v>
      </c>
      <c r="I168" s="65">
        <f t="shared" si="34"/>
        <v>49199.999999999993</v>
      </c>
      <c r="J168" s="106"/>
      <c r="K168" s="9"/>
    </row>
    <row r="169" spans="2:11">
      <c r="B169" s="34" t="str">
        <f>'6) Year 1 Budget'!B166</f>
        <v>Fire &amp; Security Monitoring</v>
      </c>
      <c r="C169" s="65">
        <v>0</v>
      </c>
      <c r="E169" s="82">
        <f>'6) Year 1 Budget'!E166</f>
        <v>1608</v>
      </c>
      <c r="F169" s="65">
        <f t="shared" si="33"/>
        <v>1648.1999999999998</v>
      </c>
      <c r="G169" s="65">
        <f t="shared" si="34"/>
        <v>1648.1999999999998</v>
      </c>
      <c r="H169" s="65">
        <f t="shared" si="34"/>
        <v>1648.1999999999998</v>
      </c>
      <c r="I169" s="65">
        <f t="shared" si="34"/>
        <v>1648.1999999999998</v>
      </c>
      <c r="J169" s="106"/>
      <c r="K169" s="9"/>
    </row>
    <row r="170" spans="2:11">
      <c r="B170" s="34" t="str">
        <f>'6) Year 1 Budget'!B167</f>
        <v>Pest Control</v>
      </c>
      <c r="C170" s="65">
        <v>0</v>
      </c>
      <c r="E170" s="82">
        <f>'6) Year 1 Budget'!E167</f>
        <v>3655</v>
      </c>
      <c r="F170" s="65">
        <f t="shared" si="33"/>
        <v>3746.3749999999995</v>
      </c>
      <c r="G170" s="65">
        <f t="shared" si="34"/>
        <v>3746.3749999999995</v>
      </c>
      <c r="H170" s="65">
        <f t="shared" si="34"/>
        <v>3746.3749999999995</v>
      </c>
      <c r="I170" s="65">
        <f t="shared" si="34"/>
        <v>3746.3749999999995</v>
      </c>
      <c r="J170" s="106"/>
      <c r="K170" s="9"/>
    </row>
    <row r="171" spans="2:11" hidden="1">
      <c r="B171" s="34"/>
      <c r="C171" s="65">
        <v>0</v>
      </c>
      <c r="E171" s="82"/>
      <c r="F171" s="65">
        <v>0</v>
      </c>
      <c r="G171" s="65">
        <f t="shared" si="34"/>
        <v>0</v>
      </c>
      <c r="H171" s="65">
        <f t="shared" si="34"/>
        <v>0</v>
      </c>
      <c r="I171" s="65">
        <f t="shared" si="34"/>
        <v>0</v>
      </c>
      <c r="J171" s="106"/>
      <c r="K171" s="9"/>
    </row>
    <row r="172" spans="2:11">
      <c r="B172" s="34" t="str">
        <f>'6) Year 1 Budget'!B168</f>
        <v>Food and Food Services</v>
      </c>
      <c r="C172" s="65">
        <v>0</v>
      </c>
      <c r="E172" s="82">
        <f>'6) Year 1 Budget'!E168</f>
        <v>80000</v>
      </c>
      <c r="F172" s="65">
        <v>157714.28571428571</v>
      </c>
      <c r="G172" s="65">
        <v>233142.85714285716</v>
      </c>
      <c r="H172" s="65">
        <v>311619.04761904763</v>
      </c>
      <c r="I172" s="65">
        <v>387809.52380952379</v>
      </c>
      <c r="J172" s="106"/>
      <c r="K172" s="9"/>
    </row>
    <row r="173" spans="2:11">
      <c r="B173" s="34" t="str">
        <f>'6) Year 1 Budget'!B169</f>
        <v>Other</v>
      </c>
      <c r="C173" s="65">
        <v>0</v>
      </c>
      <c r="E173" s="82">
        <f>'6) Year 1 Budget'!E170</f>
        <v>0</v>
      </c>
      <c r="F173" s="65">
        <f t="shared" si="33"/>
        <v>0</v>
      </c>
      <c r="G173" s="65">
        <f t="shared" si="34"/>
        <v>0</v>
      </c>
      <c r="H173" s="65">
        <f t="shared" si="34"/>
        <v>0</v>
      </c>
      <c r="I173" s="65">
        <f t="shared" si="34"/>
        <v>0</v>
      </c>
      <c r="J173" s="106"/>
      <c r="K173" s="9"/>
    </row>
    <row r="174" spans="2:11">
      <c r="B174" s="29"/>
      <c r="C174" s="42"/>
      <c r="D174" s="42"/>
      <c r="E174" s="55"/>
      <c r="F174" s="55"/>
      <c r="G174" s="55"/>
      <c r="H174" s="55"/>
      <c r="I174" s="55"/>
      <c r="J174" s="55"/>
      <c r="K174" s="9"/>
    </row>
    <row r="175" spans="2:11">
      <c r="B175" s="29" t="s">
        <v>175</v>
      </c>
      <c r="C175" s="42"/>
      <c r="D175" s="42"/>
      <c r="E175" s="55"/>
      <c r="F175" s="55"/>
      <c r="G175" s="55"/>
      <c r="H175" s="55"/>
      <c r="I175" s="55"/>
      <c r="J175" s="55"/>
      <c r="K175" s="9"/>
    </row>
    <row r="176" spans="2:11">
      <c r="B176" s="34" t="str">
        <f>'6) Year 1 Budget'!B172</f>
        <v>Staff Recruitment</v>
      </c>
      <c r="C176" s="65">
        <v>0</v>
      </c>
      <c r="E176" s="82">
        <f>'6) Year 1 Budget'!E172</f>
        <v>5000</v>
      </c>
      <c r="F176" s="66">
        <f>$E176*(1+F$121)</f>
        <v>5125</v>
      </c>
      <c r="G176" s="66">
        <f t="shared" ref="G176:I181" si="35">$E176*(1+G$121)</f>
        <v>5125</v>
      </c>
      <c r="H176" s="66">
        <f t="shared" si="35"/>
        <v>5125</v>
      </c>
      <c r="I176" s="66">
        <f t="shared" si="35"/>
        <v>5125</v>
      </c>
      <c r="J176" s="106"/>
      <c r="K176" s="9"/>
    </row>
    <row r="177" spans="2:11">
      <c r="B177" s="34" t="str">
        <f>'6) Year 1 Budget'!B173</f>
        <v>Student Recruitment &amp; Community Engagement</v>
      </c>
      <c r="C177" s="65">
        <v>0</v>
      </c>
      <c r="E177" s="82">
        <f>'6) Year 1 Budget'!E173</f>
        <v>15000</v>
      </c>
      <c r="F177" s="66">
        <f t="shared" ref="F177:I181" si="36">$E177*(1+F$121)</f>
        <v>15374.999999999998</v>
      </c>
      <c r="G177" s="66">
        <f t="shared" si="35"/>
        <v>15374.999999999998</v>
      </c>
      <c r="H177" s="66">
        <f t="shared" si="35"/>
        <v>15374.999999999998</v>
      </c>
      <c r="I177" s="66">
        <f t="shared" si="35"/>
        <v>15374.999999999998</v>
      </c>
      <c r="J177" s="106"/>
      <c r="K177" s="9"/>
    </row>
    <row r="178" spans="2:11">
      <c r="B178" s="34" t="str">
        <f>'6) Year 1 Budget'!B174</f>
        <v>Parent &amp; Staff Meetings</v>
      </c>
      <c r="C178" s="65">
        <v>0</v>
      </c>
      <c r="E178" s="82">
        <f>'6) Year 1 Budget'!E174</f>
        <v>3000</v>
      </c>
      <c r="F178" s="66">
        <f t="shared" si="36"/>
        <v>3074.9999999999995</v>
      </c>
      <c r="G178" s="66">
        <f t="shared" si="35"/>
        <v>3074.9999999999995</v>
      </c>
      <c r="H178" s="66">
        <f t="shared" si="35"/>
        <v>3074.9999999999995</v>
      </c>
      <c r="I178" s="66">
        <f t="shared" si="35"/>
        <v>3074.9999999999995</v>
      </c>
      <c r="J178" s="106"/>
      <c r="K178" s="9"/>
    </row>
    <row r="179" spans="2:11">
      <c r="B179" s="34" t="str">
        <f>'6) Year 1 Budget'!B175</f>
        <v>Authorizer Fee</v>
      </c>
      <c r="C179" s="65">
        <v>35000</v>
      </c>
      <c r="E179" s="82">
        <f>'6) Year 1 Budget'!E175</f>
        <v>35000</v>
      </c>
      <c r="F179" s="66">
        <v>35000</v>
      </c>
      <c r="G179" s="66">
        <v>35000</v>
      </c>
      <c r="H179" s="66">
        <v>35000</v>
      </c>
      <c r="I179" s="66">
        <v>35000</v>
      </c>
      <c r="J179" s="106"/>
      <c r="K179" s="9"/>
    </row>
    <row r="180" spans="2:11">
      <c r="B180" s="34" t="s">
        <v>786</v>
      </c>
      <c r="C180" s="65">
        <v>250704</v>
      </c>
      <c r="E180" s="82">
        <f>'6) Year 1 Budget'!E176</f>
        <v>250704</v>
      </c>
      <c r="F180" s="66">
        <f t="shared" si="36"/>
        <v>256971.59999999998</v>
      </c>
      <c r="G180" s="66">
        <f t="shared" si="36"/>
        <v>256971.59999999998</v>
      </c>
      <c r="H180" s="66">
        <f t="shared" si="36"/>
        <v>256971.59999999998</v>
      </c>
      <c r="I180" s="66">
        <f t="shared" si="36"/>
        <v>256971.59999999998</v>
      </c>
      <c r="J180" s="106"/>
      <c r="K180" s="9"/>
    </row>
    <row r="181" spans="2:11">
      <c r="B181" s="34" t="str">
        <f>'6) Year 1 Budget'!B177</f>
        <v>Travel-employee</v>
      </c>
      <c r="C181" s="65">
        <v>0</v>
      </c>
      <c r="E181" s="82">
        <f>'6) Year 1 Budget'!E177</f>
        <v>6400</v>
      </c>
      <c r="F181" s="66">
        <f t="shared" si="36"/>
        <v>6559.9999999999991</v>
      </c>
      <c r="G181" s="66">
        <f t="shared" si="35"/>
        <v>6559.9999999999991</v>
      </c>
      <c r="H181" s="66">
        <f t="shared" si="35"/>
        <v>6559.9999999999991</v>
      </c>
      <c r="I181" s="66">
        <f t="shared" si="35"/>
        <v>6559.9999999999991</v>
      </c>
      <c r="J181" s="106"/>
      <c r="K181" s="9"/>
    </row>
    <row r="182" spans="2:11">
      <c r="B182" s="29"/>
      <c r="C182" s="42"/>
      <c r="D182" s="42"/>
      <c r="E182" s="55"/>
      <c r="F182" s="55"/>
      <c r="G182" s="55"/>
      <c r="H182" s="55"/>
      <c r="I182" s="55"/>
      <c r="J182" s="55"/>
      <c r="K182" s="9"/>
    </row>
    <row r="183" spans="2:11">
      <c r="B183" s="29" t="s">
        <v>180</v>
      </c>
      <c r="C183" s="42"/>
      <c r="D183" s="42"/>
      <c r="E183" s="55"/>
      <c r="F183" s="55"/>
      <c r="G183" s="55"/>
      <c r="H183" s="55"/>
      <c r="I183" s="55"/>
      <c r="J183" s="55"/>
      <c r="K183" s="9"/>
    </row>
    <row r="184" spans="2:11">
      <c r="B184" s="34" t="str">
        <f>'6) Year 1 Budget'!B180</f>
        <v>Other</v>
      </c>
      <c r="C184" s="65">
        <v>0</v>
      </c>
      <c r="E184" s="82">
        <f>'6) Year 1 Budget'!E180</f>
        <v>0</v>
      </c>
      <c r="F184" s="66">
        <v>0</v>
      </c>
      <c r="G184" s="66">
        <v>0</v>
      </c>
      <c r="H184" s="66">
        <v>0</v>
      </c>
      <c r="I184" s="66">
        <v>0</v>
      </c>
      <c r="J184" s="106"/>
      <c r="K184" s="9"/>
    </row>
    <row r="185" spans="2:11">
      <c r="B185" s="34" t="str">
        <f>'6) Year 1 Budget'!B181</f>
        <v>Other</v>
      </c>
      <c r="C185" s="65">
        <v>0</v>
      </c>
      <c r="E185" s="82">
        <f>'6) Year 1 Budget'!E181</f>
        <v>0</v>
      </c>
      <c r="F185" s="66">
        <v>0</v>
      </c>
      <c r="G185" s="66">
        <v>0</v>
      </c>
      <c r="H185" s="66">
        <v>0</v>
      </c>
      <c r="I185" s="66">
        <v>0</v>
      </c>
      <c r="J185" s="106"/>
      <c r="K185" s="9"/>
    </row>
    <row r="186" spans="2:11">
      <c r="B186" s="34" t="str">
        <f>'6) Year 1 Budget'!B182</f>
        <v>Other</v>
      </c>
      <c r="C186" s="65">
        <v>0</v>
      </c>
      <c r="E186" s="82">
        <f>'6) Year 1 Budget'!E182</f>
        <v>0</v>
      </c>
      <c r="F186" s="66">
        <v>0</v>
      </c>
      <c r="G186" s="66">
        <v>0</v>
      </c>
      <c r="H186" s="66">
        <v>0</v>
      </c>
      <c r="I186" s="66">
        <v>0</v>
      </c>
      <c r="J186" s="106"/>
      <c r="K186" s="9"/>
    </row>
    <row r="187" spans="2:11">
      <c r="B187" s="34" t="str">
        <f>'6) Year 1 Budget'!B183</f>
        <v>Other</v>
      </c>
      <c r="C187" s="65">
        <v>0</v>
      </c>
      <c r="E187" s="82">
        <f>'6) Year 1 Budget'!E183</f>
        <v>0</v>
      </c>
      <c r="F187" s="66">
        <v>0</v>
      </c>
      <c r="G187" s="66">
        <v>0</v>
      </c>
      <c r="H187" s="66">
        <v>0</v>
      </c>
      <c r="I187" s="66">
        <v>0</v>
      </c>
      <c r="J187" s="106"/>
      <c r="K187" s="9"/>
    </row>
    <row r="188" spans="2:11">
      <c r="B188" s="34" t="str">
        <f>'6) Year 1 Budget'!B184</f>
        <v>Other</v>
      </c>
      <c r="C188" s="65">
        <v>0</v>
      </c>
      <c r="E188" s="82">
        <f>'6) Year 1 Budget'!E184</f>
        <v>0</v>
      </c>
      <c r="F188" s="66">
        <v>0</v>
      </c>
      <c r="G188" s="66">
        <v>0</v>
      </c>
      <c r="H188" s="66">
        <v>0</v>
      </c>
      <c r="I188" s="66">
        <v>0</v>
      </c>
      <c r="J188" s="106"/>
      <c r="K188" s="9"/>
    </row>
    <row r="189" spans="2:11">
      <c r="B189" s="29"/>
      <c r="C189" s="42"/>
      <c r="D189" s="42"/>
      <c r="E189" s="55"/>
      <c r="F189" s="55"/>
      <c r="G189" s="55"/>
      <c r="H189" s="55"/>
      <c r="I189" s="55"/>
      <c r="J189" s="55"/>
      <c r="K189" s="9"/>
    </row>
    <row r="190" spans="2:11" ht="15.75" thickBot="1">
      <c r="B190" s="29" t="s">
        <v>181</v>
      </c>
      <c r="C190" s="42"/>
      <c r="D190" s="42"/>
      <c r="E190" s="54">
        <f>SUM(E125:E139,E142:E156,E159:E173,E176:E181,E184:E188)</f>
        <v>1277604</v>
      </c>
      <c r="F190" s="54">
        <f>SUM(F125:F139,F142:F156,F159:F173,F176:F181,F184:F188)</f>
        <v>1838340.5607142858</v>
      </c>
      <c r="G190" s="54">
        <f>SUM(G125:G139,G142:G156,G159:G173,G176:G181,G184:G188)</f>
        <v>2277793.6346428571</v>
      </c>
      <c r="H190" s="54">
        <f>SUM(H125:H139,H142:H156,H159:H173,H176:H181,H184:H188)</f>
        <v>2677260.2151815477</v>
      </c>
      <c r="I190" s="54">
        <f>SUM(I125:I139,I142:I156,I159:I173,I176:I181,I184:I188)</f>
        <v>3099218.5411860864</v>
      </c>
      <c r="J190" s="55"/>
      <c r="K190" s="9"/>
    </row>
    <row r="191" spans="2:11" ht="15.75" thickTop="1">
      <c r="B191" s="29"/>
      <c r="C191" s="42"/>
      <c r="D191" s="42"/>
      <c r="E191" s="55"/>
      <c r="F191" s="55"/>
      <c r="G191" s="55"/>
      <c r="H191" s="55"/>
      <c r="I191" s="55"/>
      <c r="J191" s="55"/>
      <c r="K191" s="9"/>
    </row>
    <row r="192" spans="2:11" ht="15.75" thickBot="1">
      <c r="B192" s="29" t="s">
        <v>182</v>
      </c>
      <c r="C192" s="42"/>
      <c r="D192" s="42"/>
      <c r="E192" s="54">
        <f>E89+E114+E190</f>
        <v>2752385.8383999998</v>
      </c>
      <c r="F192" s="54">
        <f t="shared" ref="F192:I192" si="37">F89+F114+F190</f>
        <v>3596754.767746286</v>
      </c>
      <c r="G192" s="54">
        <f t="shared" si="37"/>
        <v>4560246.0481498167</v>
      </c>
      <c r="H192" s="54">
        <f t="shared" si="37"/>
        <v>5352649.9179857168</v>
      </c>
      <c r="I192" s="54">
        <f t="shared" si="37"/>
        <v>6039153.9223447721</v>
      </c>
      <c r="J192" s="55"/>
      <c r="K192" s="9"/>
    </row>
    <row r="193" spans="2:13" ht="16.5" thickTop="1" thickBot="1">
      <c r="B193" s="20"/>
      <c r="C193" s="21"/>
      <c r="D193" s="21"/>
      <c r="E193" s="21"/>
      <c r="F193" s="21"/>
      <c r="G193" s="21"/>
      <c r="H193" s="21"/>
      <c r="I193" s="21"/>
      <c r="J193" s="21"/>
      <c r="K193" s="22"/>
    </row>
    <row r="196" spans="2:13">
      <c r="C196" t="s">
        <v>815</v>
      </c>
      <c r="E196" s="122">
        <f>E52-E192</f>
        <v>51529.520512109157</v>
      </c>
      <c r="F196" s="122">
        <f t="shared" ref="F196:I196" si="38">F52-F192</f>
        <v>1895.1049053962342</v>
      </c>
      <c r="G196" s="122">
        <f t="shared" si="38"/>
        <v>65832.509976753965</v>
      </c>
      <c r="H196" s="122">
        <f t="shared" si="38"/>
        <v>32562.223893323913</v>
      </c>
      <c r="I196" s="122">
        <f t="shared" si="38"/>
        <v>131000.08926501963</v>
      </c>
    </row>
    <row r="197" spans="2:13">
      <c r="C197" t="s">
        <v>818</v>
      </c>
      <c r="E197" s="122">
        <f>'9) Summary'!E30</f>
        <v>51529.520512109157</v>
      </c>
      <c r="F197" s="122">
        <f>'9) Summary'!F30</f>
        <v>1895.1049053962342</v>
      </c>
      <c r="G197" s="122">
        <f>'9) Summary'!G30</f>
        <v>65832.509976753965</v>
      </c>
      <c r="H197" s="122">
        <f>'9) Summary'!H30</f>
        <v>32562.223893324845</v>
      </c>
      <c r="I197" s="122">
        <f>'9) Summary'!I30</f>
        <v>131000.08926501963</v>
      </c>
    </row>
    <row r="198" spans="2:13">
      <c r="E198" t="s">
        <v>42</v>
      </c>
      <c r="F198">
        <v>2</v>
      </c>
      <c r="G198">
        <v>3</v>
      </c>
      <c r="H198">
        <v>4</v>
      </c>
      <c r="I198">
        <v>5</v>
      </c>
    </row>
    <row r="199" spans="2:13">
      <c r="C199" t="s">
        <v>819</v>
      </c>
      <c r="E199" s="122"/>
    </row>
    <row r="200" spans="2:13">
      <c r="C200" t="s">
        <v>824</v>
      </c>
      <c r="L200" t="s">
        <v>827</v>
      </c>
      <c r="M200" t="s">
        <v>828</v>
      </c>
    </row>
    <row r="201" spans="2:13">
      <c r="B201" t="s">
        <v>820</v>
      </c>
      <c r="C201" s="682">
        <f>'3) Pre-Opening Budget'!E30</f>
        <v>200000</v>
      </c>
      <c r="E201" s="682">
        <f>'6) Year 1 Budget'!E31</f>
        <v>200000</v>
      </c>
      <c r="F201" s="682">
        <v>0</v>
      </c>
      <c r="G201" s="682">
        <v>0</v>
      </c>
      <c r="H201" s="682">
        <v>0</v>
      </c>
      <c r="I201" s="682">
        <v>0</v>
      </c>
      <c r="J201" s="683">
        <v>400000</v>
      </c>
      <c r="L201" s="636">
        <f>SUM(C201:I201)</f>
        <v>400000</v>
      </c>
      <c r="M201" s="636">
        <f>L201-J201</f>
        <v>0</v>
      </c>
    </row>
    <row r="202" spans="2:13">
      <c r="B202" t="s">
        <v>763</v>
      </c>
      <c r="C202" s="682">
        <f>'3) Pre-Opening Budget'!E43</f>
        <v>250000</v>
      </c>
      <c r="E202" s="682">
        <f>'6) Year 1 Budget'!E44</f>
        <v>620000</v>
      </c>
      <c r="F202" s="684">
        <f>F46</f>
        <v>130000</v>
      </c>
      <c r="G202" s="684">
        <f t="shared" ref="G202:I202" si="39">G46</f>
        <v>0</v>
      </c>
      <c r="H202" s="684">
        <f t="shared" si="39"/>
        <v>0</v>
      </c>
      <c r="I202" s="684">
        <f t="shared" si="39"/>
        <v>0</v>
      </c>
      <c r="J202" s="683">
        <v>1000000</v>
      </c>
      <c r="L202" s="636">
        <f>SUM(C202:I202)</f>
        <v>1000000</v>
      </c>
      <c r="M202" s="636">
        <f>L202-J202</f>
        <v>0</v>
      </c>
    </row>
  </sheetData>
  <mergeCells count="7">
    <mergeCell ref="B8:K8"/>
    <mergeCell ref="B54:K54"/>
    <mergeCell ref="B92:K92"/>
    <mergeCell ref="B117:K117"/>
    <mergeCell ref="B3:K3"/>
    <mergeCell ref="B4:K4"/>
    <mergeCell ref="B5:K5"/>
  </mergeCells>
  <pageMargins left="0.7" right="0.7" top="0.75" bottom="0.75" header="0.3" footer="0.3"/>
  <pageSetup scale="48" fitToHeight="5" orientation="landscape" horizontalDpi="1200" verticalDpi="1200" r:id="rId1"/>
  <headerFooter>
    <oddFooter>&amp;L&amp;A&amp;RPage &amp;P of &amp;N</oddFooter>
  </headerFooter>
  <rowBreaks count="4" manualBreakCount="4">
    <brk id="53" max="10" man="1"/>
    <brk id="91" max="10" man="1"/>
    <brk id="116" max="10" man="1"/>
    <brk id="157"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B1:K41"/>
  <sheetViews>
    <sheetView showGridLines="0" topLeftCell="A8" zoomScale="90" zoomScaleNormal="90" workbookViewId="0">
      <selection activeCell="I30" sqref="I30"/>
    </sheetView>
  </sheetViews>
  <sheetFormatPr defaultColWidth="8.85546875" defaultRowHeight="15"/>
  <cols>
    <col min="1" max="1" width="20.28515625" customWidth="1"/>
    <col min="3" max="3" width="27.7109375" customWidth="1"/>
    <col min="4" max="9" width="12.7109375" customWidth="1"/>
  </cols>
  <sheetData>
    <row r="1" spans="2:11" ht="15.75" thickBot="1"/>
    <row r="2" spans="2:11">
      <c r="B2" s="5"/>
      <c r="C2" s="6"/>
      <c r="D2" s="6"/>
      <c r="E2" s="6"/>
      <c r="F2" s="6"/>
      <c r="G2" s="6"/>
      <c r="H2" s="6"/>
      <c r="I2" s="6"/>
      <c r="J2" s="6"/>
      <c r="K2" s="7"/>
    </row>
    <row r="3" spans="2:11">
      <c r="B3" s="797" t="str">
        <f>IF('1) Proposed School Information'!E12="","ENTER SCHOOL NAME ON PROPOSED SCHOOL INFO SHEET",'1) Proposed School Information'!E12)</f>
        <v>Knoxville Prep</v>
      </c>
      <c r="C3" s="784"/>
      <c r="D3" s="784"/>
      <c r="E3" s="784"/>
      <c r="F3" s="784"/>
      <c r="G3" s="784"/>
      <c r="H3" s="784"/>
      <c r="I3" s="784"/>
      <c r="J3" s="784"/>
      <c r="K3" s="798"/>
    </row>
    <row r="4" spans="2:11">
      <c r="B4" s="797" t="s">
        <v>14</v>
      </c>
      <c r="C4" s="784"/>
      <c r="D4" s="784"/>
      <c r="E4" s="784"/>
      <c r="F4" s="784"/>
      <c r="G4" s="784"/>
      <c r="H4" s="784"/>
      <c r="I4" s="784"/>
      <c r="J4" s="784"/>
      <c r="K4" s="798"/>
    </row>
    <row r="5" spans="2:11">
      <c r="B5" s="797" t="s">
        <v>252</v>
      </c>
      <c r="C5" s="784"/>
      <c r="D5" s="784"/>
      <c r="E5" s="784"/>
      <c r="F5" s="784"/>
      <c r="G5" s="784"/>
      <c r="H5" s="784"/>
      <c r="I5" s="784"/>
      <c r="J5" s="784"/>
      <c r="K5" s="798"/>
    </row>
    <row r="6" spans="2:11">
      <c r="B6" s="8"/>
      <c r="K6" s="9"/>
    </row>
    <row r="7" spans="2:11">
      <c r="B7" s="8"/>
      <c r="K7" s="9"/>
    </row>
    <row r="8" spans="2:11">
      <c r="B8" s="793" t="s">
        <v>84</v>
      </c>
      <c r="C8" s="783"/>
      <c r="D8" s="783"/>
      <c r="E8" s="783"/>
      <c r="F8" s="783"/>
      <c r="G8" s="783"/>
      <c r="H8" s="783"/>
      <c r="I8" s="783"/>
      <c r="J8" s="783"/>
      <c r="K8" s="794"/>
    </row>
    <row r="9" spans="2:11">
      <c r="B9" s="8"/>
      <c r="K9" s="9"/>
    </row>
    <row r="10" spans="2:11">
      <c r="B10" s="34"/>
      <c r="C10" s="45"/>
      <c r="D10" s="83" t="s">
        <v>85</v>
      </c>
      <c r="E10" s="83" t="s">
        <v>42</v>
      </c>
      <c r="F10" s="83" t="s">
        <v>43</v>
      </c>
      <c r="G10" s="83" t="s">
        <v>44</v>
      </c>
      <c r="H10" s="83" t="s">
        <v>45</v>
      </c>
      <c r="I10" s="83" t="s">
        <v>46</v>
      </c>
      <c r="J10" s="73"/>
      <c r="K10" s="9"/>
    </row>
    <row r="11" spans="2:11">
      <c r="B11" s="34"/>
      <c r="C11" s="45"/>
      <c r="D11" s="83" t="str">
        <f>IF(ISNA( '3) Pre-Opening Budget'!E11), "", '3) Pre-Opening Budget'!E11)</f>
        <v>2023-24</v>
      </c>
      <c r="E11" s="83" t="str">
        <f>IF('1) Proposed School Information'!E21="Select Year"," ",'1) Proposed School Information'!E21)</f>
        <v>2024-25</v>
      </c>
      <c r="F11" s="83" t="str">
        <f>IF(E11=" "," ",VLOOKUP(E11,Source!$A$8:$B$17,2,FALSE))</f>
        <v>2025-26</v>
      </c>
      <c r="G11" s="83" t="str">
        <f>IF(F11=" "," ",VLOOKUP(F11,Source!$A$8:$B$17,2,FALSE))</f>
        <v>2026-27</v>
      </c>
      <c r="H11" s="83" t="str">
        <f>IF(G11=" "," ",VLOOKUP(G11,Source!$A$8:$B$17,2,FALSE))</f>
        <v>2027-28</v>
      </c>
      <c r="I11" s="83" t="str">
        <f>IF(H11=" "," ",VLOOKUP(H11,Source!$A$8:$B$17,2,FALSE))</f>
        <v>2028-29</v>
      </c>
      <c r="J11" s="73"/>
      <c r="K11" s="9"/>
    </row>
    <row r="12" spans="2:11">
      <c r="B12" s="34"/>
      <c r="C12" s="45"/>
      <c r="D12" s="73"/>
      <c r="E12" s="73"/>
      <c r="F12" s="73"/>
      <c r="G12" s="73"/>
      <c r="H12" s="73"/>
      <c r="I12" s="73"/>
      <c r="J12" s="73"/>
      <c r="K12" s="9"/>
    </row>
    <row r="13" spans="2:11">
      <c r="B13" s="34"/>
      <c r="C13" s="87" t="s">
        <v>253</v>
      </c>
      <c r="D13" s="158">
        <v>0</v>
      </c>
      <c r="E13" s="119">
        <f>D32</f>
        <v>257583.23749999999</v>
      </c>
      <c r="F13" s="119">
        <f>E32</f>
        <v>309112.75801210915</v>
      </c>
      <c r="G13" s="119">
        <f>F32</f>
        <v>311007.86291750538</v>
      </c>
      <c r="H13" s="119">
        <f>G32</f>
        <v>376840.37289425934</v>
      </c>
      <c r="I13" s="119">
        <f>H32</f>
        <v>409402.59678758419</v>
      </c>
      <c r="K13" s="9"/>
    </row>
    <row r="14" spans="2:11">
      <c r="B14" s="34"/>
      <c r="C14" s="87"/>
      <c r="D14" s="119"/>
      <c r="E14" s="119"/>
      <c r="F14" s="119"/>
      <c r="G14" s="119"/>
      <c r="H14" s="119"/>
      <c r="I14" s="119"/>
      <c r="K14" s="9"/>
    </row>
    <row r="15" spans="2:11">
      <c r="B15" s="34"/>
      <c r="C15" t="s">
        <v>92</v>
      </c>
      <c r="D15" s="119">
        <v>0</v>
      </c>
      <c r="E15" s="119">
        <f>SUM('8) Year 2 through 5 Budget'!E22:E26)</f>
        <v>1191958.5089121088</v>
      </c>
      <c r="F15" s="119">
        <f>SUM('8) Year 2 through 5 Budget'!F22:F26)</f>
        <v>2181783.8726516822</v>
      </c>
      <c r="G15" s="119">
        <f>SUM('8) Year 2 through 5 Budget'!G22:G26)</f>
        <v>3191413.5581265707</v>
      </c>
      <c r="H15" s="119">
        <f>SUM('8) Year 2 through 5 Budget'!H22:H26)</f>
        <v>4289715.1418790407</v>
      </c>
      <c r="I15" s="119">
        <f>SUM('8) Year 2 through 5 Budget'!I22:I26)</f>
        <v>5410530.0116097918</v>
      </c>
      <c r="K15" s="9"/>
    </row>
    <row r="16" spans="2:11">
      <c r="B16" s="34"/>
      <c r="C16" t="s">
        <v>88</v>
      </c>
      <c r="D16" s="119">
        <f>'3) Pre-Opening Budget'!E30</f>
        <v>200000</v>
      </c>
      <c r="E16" s="119">
        <f>SUM('8) Year 2 through 5 Budget'!E29:E36)</f>
        <v>341956.85</v>
      </c>
      <c r="F16" s="119">
        <f>SUM('8) Year 2 through 5 Budget'!F29:F36)</f>
        <v>286866</v>
      </c>
      <c r="G16" s="119">
        <f>SUM('8) Year 2 through 5 Budget'!G29:G36)</f>
        <v>434665</v>
      </c>
      <c r="H16" s="119">
        <f>SUM('8) Year 2 through 5 Budget'!H29:H36)</f>
        <v>595497</v>
      </c>
      <c r="I16" s="119">
        <f>SUM('8) Year 2 through 5 Budget'!I29:I36)</f>
        <v>759624</v>
      </c>
      <c r="K16" s="9"/>
    </row>
    <row r="17" spans="2:11">
      <c r="B17" s="34"/>
      <c r="C17" t="s">
        <v>103</v>
      </c>
      <c r="D17" s="119">
        <v>0</v>
      </c>
      <c r="E17" s="119">
        <f>SUM('8) Year 2 through 5 Budget'!E39:E43)</f>
        <v>0</v>
      </c>
      <c r="F17" s="119">
        <f>SUM('8) Year 2 through 5 Budget'!F39:F43)</f>
        <v>0</v>
      </c>
      <c r="G17" s="119">
        <f>SUM('8) Year 2 through 5 Budget'!G39:G43)</f>
        <v>0</v>
      </c>
      <c r="H17" s="119">
        <f>SUM('8) Year 2 through 5 Budget'!H39:H43)</f>
        <v>0</v>
      </c>
      <c r="I17" s="119">
        <f>SUM('8) Year 2 through 5 Budget'!I39:I43)</f>
        <v>0</v>
      </c>
      <c r="K17" s="9"/>
    </row>
    <row r="18" spans="2:11" ht="15.75" thickBot="1">
      <c r="B18" s="34"/>
      <c r="C18" t="s">
        <v>104</v>
      </c>
      <c r="D18" s="120">
        <f>SUM('3) Pre-Opening Budget'!E42:E46)</f>
        <v>545000</v>
      </c>
      <c r="E18" s="120">
        <f>SUM('8) Year 2 through 5 Budget'!E46:E50)</f>
        <v>1270000</v>
      </c>
      <c r="F18" s="120">
        <f>SUM('8) Year 2 through 5 Budget'!F46:F50)</f>
        <v>1130000</v>
      </c>
      <c r="G18" s="120">
        <f>SUM('8) Year 2 through 5 Budget'!G46:G50)</f>
        <v>1000000</v>
      </c>
      <c r="H18" s="120">
        <f>SUM('8) Year 2 through 5 Budget'!H46:H50)</f>
        <v>500000</v>
      </c>
      <c r="I18" s="120">
        <f>SUM('8) Year 2 through 5 Budget'!I46:I50)</f>
        <v>0</v>
      </c>
      <c r="K18" s="9"/>
    </row>
    <row r="19" spans="2:11" ht="15.75" thickTop="1">
      <c r="B19" s="34"/>
      <c r="C19" s="87" t="s">
        <v>106</v>
      </c>
      <c r="D19" s="677">
        <f t="shared" ref="D19:I19" si="0">SUM(D15:D18)</f>
        <v>745000</v>
      </c>
      <c r="E19" s="119">
        <f t="shared" si="0"/>
        <v>2803915.3589121089</v>
      </c>
      <c r="F19" s="119">
        <f t="shared" si="0"/>
        <v>3598649.8726516822</v>
      </c>
      <c r="G19" s="119">
        <f t="shared" si="0"/>
        <v>4626078.5581265707</v>
      </c>
      <c r="H19" s="119">
        <f t="shared" si="0"/>
        <v>5385212.1418790407</v>
      </c>
      <c r="I19" s="119">
        <f t="shared" si="0"/>
        <v>6170154.0116097918</v>
      </c>
      <c r="K19" s="9"/>
    </row>
    <row r="20" spans="2:11">
      <c r="B20" s="34"/>
      <c r="C20" s="87"/>
      <c r="D20" s="119"/>
      <c r="E20" s="119"/>
      <c r="F20" s="119"/>
      <c r="G20" s="119"/>
      <c r="H20" s="119"/>
      <c r="I20" s="119"/>
      <c r="K20" s="9"/>
    </row>
    <row r="21" spans="2:11">
      <c r="B21" s="34"/>
      <c r="C21" t="s">
        <v>203</v>
      </c>
      <c r="D21" s="119">
        <f>'3) Pre-Opening Budget'!E92</f>
        <v>236525</v>
      </c>
      <c r="E21" s="119">
        <f>'8) Year 2 through 5 Budget'!E89</f>
        <v>1096812</v>
      </c>
      <c r="F21" s="119">
        <f>'8) Year 2 through 5 Budget'!F89</f>
        <v>1303735.2600000002</v>
      </c>
      <c r="G21" s="119">
        <f>'8) Year 2 through 5 Budget'!G89</f>
        <v>1694671.3377999999</v>
      </c>
      <c r="H21" s="119">
        <f>'8) Year 2 through 5 Budget'!H89</f>
        <v>1994762.7879340001</v>
      </c>
      <c r="I21" s="119">
        <f>'8) Year 2 through 5 Budget'!I89</f>
        <v>2199351.6716320203</v>
      </c>
      <c r="K21" s="9"/>
    </row>
    <row r="22" spans="2:11">
      <c r="B22" s="34"/>
      <c r="C22" t="s">
        <v>204</v>
      </c>
      <c r="D22" s="119">
        <f>'3) Pre-Opening Budget'!E112</f>
        <v>73788.762499999997</v>
      </c>
      <c r="E22" s="119">
        <f>'8) Year 2 through 5 Budget'!E114</f>
        <v>377969.83840000001</v>
      </c>
      <c r="F22" s="119">
        <f>'8) Year 2 through 5 Budget'!F114</f>
        <v>454678.94703200005</v>
      </c>
      <c r="G22" s="119">
        <f>'8) Year 2 through 5 Budget'!G114</f>
        <v>587781.07570695993</v>
      </c>
      <c r="H22" s="119">
        <f>'8) Year 2 through 5 Budget'!H114</f>
        <v>680626.91487016878</v>
      </c>
      <c r="I22" s="119">
        <f>'8) Year 2 through 5 Budget'!I114</f>
        <v>740583.70952666597</v>
      </c>
      <c r="K22" s="9"/>
    </row>
    <row r="23" spans="2:11">
      <c r="B23" s="34"/>
      <c r="C23" t="s">
        <v>132</v>
      </c>
      <c r="D23" s="119">
        <f>SUM('3) Pre-Opening Budget'!E123:E138)</f>
        <v>129547</v>
      </c>
      <c r="E23" s="119">
        <f>SUM('8) Year 2 through 5 Budget'!E125:E139)</f>
        <v>371932</v>
      </c>
      <c r="F23" s="119">
        <f>SUM('8) Year 2 through 5 Budget'!F125:F139)</f>
        <v>725445.1</v>
      </c>
      <c r="G23" s="119">
        <f>SUM('8) Year 2 through 5 Budget'!G125:G139)</f>
        <v>882986.60250000004</v>
      </c>
      <c r="H23" s="119">
        <f>SUM('8) Year 2 through 5 Budget'!H125:H139)</f>
        <v>1110095.9925625001</v>
      </c>
      <c r="I23" s="119">
        <f>SUM('8) Year 2 through 5 Budget'!I125:I139)</f>
        <v>1356182.8423765623</v>
      </c>
      <c r="K23" s="9"/>
    </row>
    <row r="24" spans="2:11">
      <c r="B24" s="34"/>
      <c r="C24" t="s">
        <v>148</v>
      </c>
      <c r="D24" s="119">
        <f>SUM('3) Pre-Opening Budget'!E141:E155)</f>
        <v>21620</v>
      </c>
      <c r="E24" s="119">
        <f>SUM('8) Year 2 through 5 Budget'!E142:E156)</f>
        <v>239505</v>
      </c>
      <c r="F24" s="119">
        <f>SUM('8) Year 2 through 5 Budget'!F142:F156)</f>
        <v>292410</v>
      </c>
      <c r="G24" s="119">
        <f>SUM('8) Year 2 through 5 Budget'!G142:G156)</f>
        <v>388809</v>
      </c>
      <c r="H24" s="119">
        <f>SUM('8) Year 2 through 5 Budget'!H142:H156)</f>
        <v>476857</v>
      </c>
      <c r="I24" s="119">
        <f>SUM('8) Year 2 through 5 Budget'!I142:I156)</f>
        <v>565361</v>
      </c>
      <c r="K24" s="9"/>
    </row>
    <row r="25" spans="2:11">
      <c r="B25" s="34"/>
      <c r="C25" t="s">
        <v>205</v>
      </c>
      <c r="D25" s="119">
        <f>SUM('3) Pre-Opening Budget'!E158:E172)</f>
        <v>16036</v>
      </c>
      <c r="E25" s="119">
        <f>SUM('8) Year 2 through 5 Budget'!E159:E173)</f>
        <v>351063</v>
      </c>
      <c r="F25" s="119">
        <f>SUM('8) Year 2 through 5 Budget'!F159:F173)</f>
        <v>498378.86071428575</v>
      </c>
      <c r="G25" s="119">
        <f>SUM('8) Year 2 through 5 Budget'!G159:G173)</f>
        <v>683891.43214285723</v>
      </c>
      <c r="H25" s="119">
        <f>SUM('8) Year 2 through 5 Budget'!H159:H173)</f>
        <v>768200.62261904764</v>
      </c>
      <c r="I25" s="119">
        <f>SUM('8) Year 2 through 5 Budget'!I159:I173)</f>
        <v>855568.09880952374</v>
      </c>
      <c r="K25" s="9"/>
    </row>
    <row r="26" spans="2:11">
      <c r="B26" s="34"/>
      <c r="C26" t="s">
        <v>175</v>
      </c>
      <c r="D26" s="119">
        <f>SUM('3) Pre-Opening Budget'!E175:E179)</f>
        <v>9900</v>
      </c>
      <c r="E26" s="119">
        <f>SUM('8) Year 2 through 5 Budget'!E176:E181)</f>
        <v>315104</v>
      </c>
      <c r="F26" s="119">
        <f>SUM('8) Year 2 through 5 Budget'!F176:F181)</f>
        <v>322106.59999999998</v>
      </c>
      <c r="G26" s="119">
        <f>SUM('8) Year 2 through 5 Budget'!G176:G181)</f>
        <v>322106.59999999998</v>
      </c>
      <c r="H26" s="119">
        <f>SUM('8) Year 2 through 5 Budget'!H176:H181)</f>
        <v>322106.59999999998</v>
      </c>
      <c r="I26" s="119">
        <f>SUM('8) Year 2 through 5 Budget'!I176:I181)</f>
        <v>322106.59999999998</v>
      </c>
      <c r="K26" s="9"/>
    </row>
    <row r="27" spans="2:11" ht="15.75" thickBot="1">
      <c r="B27" s="34"/>
      <c r="C27" t="s">
        <v>180</v>
      </c>
      <c r="D27" s="120">
        <f>SUM('3) Pre-Opening Budget'!E182:E186)</f>
        <v>0</v>
      </c>
      <c r="E27" s="120">
        <f>SUM('8) Year 2 through 5 Budget'!E184:E188)</f>
        <v>0</v>
      </c>
      <c r="F27" s="120">
        <f>SUM('8) Year 2 through 5 Budget'!F184:F188)</f>
        <v>0</v>
      </c>
      <c r="G27" s="120">
        <f>SUM('8) Year 2 through 5 Budget'!G184:G188)</f>
        <v>0</v>
      </c>
      <c r="H27" s="120">
        <f>SUM('8) Year 2 through 5 Budget'!H184:H188)</f>
        <v>0</v>
      </c>
      <c r="I27" s="120">
        <f>SUM('8) Year 2 through 5 Budget'!I184:I188)</f>
        <v>0</v>
      </c>
      <c r="K27" s="9"/>
    </row>
    <row r="28" spans="2:11" ht="15.75" thickTop="1">
      <c r="B28" s="34"/>
      <c r="C28" s="87" t="s">
        <v>182</v>
      </c>
      <c r="D28" s="677">
        <f t="shared" ref="D28:I28" si="1">SUM(D21:D27)</f>
        <v>487416.76250000001</v>
      </c>
      <c r="E28" s="119">
        <f t="shared" si="1"/>
        <v>2752385.8383999998</v>
      </c>
      <c r="F28" s="119">
        <f t="shared" si="1"/>
        <v>3596754.767746286</v>
      </c>
      <c r="G28" s="119">
        <f t="shared" si="1"/>
        <v>4560246.0481498167</v>
      </c>
      <c r="H28" s="119">
        <f t="shared" si="1"/>
        <v>5352649.9179857159</v>
      </c>
      <c r="I28" s="119">
        <f t="shared" si="1"/>
        <v>6039153.9223447721</v>
      </c>
      <c r="K28" s="9"/>
    </row>
    <row r="29" spans="2:11">
      <c r="B29" s="34"/>
      <c r="C29" s="73"/>
      <c r="D29" s="119"/>
      <c r="E29" s="119"/>
      <c r="F29" s="119"/>
      <c r="G29" s="119"/>
      <c r="H29" s="119"/>
      <c r="I29" s="119"/>
      <c r="K29" s="9"/>
    </row>
    <row r="30" spans="2:11">
      <c r="B30" s="34"/>
      <c r="C30" s="73" t="s">
        <v>254</v>
      </c>
      <c r="D30" s="119">
        <f t="shared" ref="D30:I30" si="2">D19-D28</f>
        <v>257583.23749999999</v>
      </c>
      <c r="E30" s="119">
        <f t="shared" si="2"/>
        <v>51529.520512109157</v>
      </c>
      <c r="F30" s="119">
        <f t="shared" si="2"/>
        <v>1895.1049053962342</v>
      </c>
      <c r="G30" s="119">
        <f t="shared" si="2"/>
        <v>65832.509976753965</v>
      </c>
      <c r="H30" s="119">
        <f t="shared" si="2"/>
        <v>32562.223893324845</v>
      </c>
      <c r="I30" s="119">
        <f t="shared" si="2"/>
        <v>131000.08926501963</v>
      </c>
      <c r="K30" s="9"/>
    </row>
    <row r="31" spans="2:11">
      <c r="B31" s="34"/>
      <c r="C31" s="73"/>
      <c r="D31" s="119"/>
      <c r="E31" s="119"/>
      <c r="F31" s="119"/>
      <c r="G31" s="119"/>
      <c r="H31" s="119"/>
      <c r="I31" s="119"/>
      <c r="K31" s="9"/>
    </row>
    <row r="32" spans="2:11">
      <c r="B32" s="34"/>
      <c r="C32" s="87" t="s">
        <v>255</v>
      </c>
      <c r="D32" s="679">
        <f t="shared" ref="D32:I32" si="3">D13+D30</f>
        <v>257583.23749999999</v>
      </c>
      <c r="E32" s="122">
        <f t="shared" si="3"/>
        <v>309112.75801210915</v>
      </c>
      <c r="F32" s="122">
        <f t="shared" si="3"/>
        <v>311007.86291750538</v>
      </c>
      <c r="G32" s="122">
        <f t="shared" si="3"/>
        <v>376840.37289425934</v>
      </c>
      <c r="H32" s="122">
        <f t="shared" si="3"/>
        <v>409402.59678758419</v>
      </c>
      <c r="I32" s="122">
        <f t="shared" si="3"/>
        <v>540402.68605260388</v>
      </c>
      <c r="K32" s="9"/>
    </row>
    <row r="33" spans="2:11">
      <c r="B33" s="34"/>
      <c r="K33" s="9"/>
    </row>
    <row r="34" spans="2:11">
      <c r="B34" s="34"/>
      <c r="K34" s="9"/>
    </row>
    <row r="35" spans="2:11">
      <c r="B35" s="34"/>
      <c r="E35" s="636"/>
      <c r="F35" s="636"/>
      <c r="G35" s="636"/>
      <c r="H35" s="636"/>
      <c r="I35" s="636"/>
      <c r="K35" s="9"/>
    </row>
    <row r="36" spans="2:11">
      <c r="B36" s="34"/>
      <c r="K36" s="9"/>
    </row>
    <row r="37" spans="2:11" ht="15.75" thickBot="1">
      <c r="B37" s="121"/>
      <c r="C37" s="21"/>
      <c r="D37" s="21"/>
      <c r="E37" s="21"/>
      <c r="F37" s="21"/>
      <c r="G37" s="21"/>
      <c r="H37" s="21"/>
      <c r="I37" s="21"/>
      <c r="J37" s="21"/>
      <c r="K37" s="22"/>
    </row>
    <row r="41" spans="2:11">
      <c r="D41" s="122"/>
    </row>
  </sheetData>
  <mergeCells count="4">
    <mergeCell ref="B3:K3"/>
    <mergeCell ref="B4:K4"/>
    <mergeCell ref="B5:K5"/>
    <mergeCell ref="B8:K8"/>
  </mergeCells>
  <pageMargins left="0.7" right="0.7" top="0.75" bottom="0.75" header="0.3" footer="0.3"/>
  <pageSetup scale="60" fitToHeight="0" orientation="portrait" horizontalDpi="1200" verticalDpi="1200" r:id="rId1"/>
  <headerFooter>
    <oddFooter>&amp;L&amp;A&amp;RPage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931D3-B6DD-46EA-B164-D4291552F7E1}">
  <sheetPr>
    <tabColor theme="9" tint="0.79998168889431442"/>
  </sheetPr>
  <dimension ref="A1:AL131"/>
  <sheetViews>
    <sheetView topLeftCell="A48" workbookViewId="0">
      <selection activeCell="B3" sqref="B3"/>
    </sheetView>
  </sheetViews>
  <sheetFormatPr defaultColWidth="8.7109375" defaultRowHeight="15"/>
  <cols>
    <col min="1" max="1" width="5.42578125" customWidth="1"/>
    <col min="2" max="2" width="30.42578125" customWidth="1"/>
    <col min="3" max="4" width="9.85546875" customWidth="1"/>
    <col min="5" max="5" width="11.28515625" customWidth="1"/>
    <col min="6" max="7" width="9.85546875" customWidth="1"/>
    <col min="8" max="8" width="11.140625" customWidth="1"/>
    <col min="9" max="10" width="9.85546875" customWidth="1"/>
    <col min="11" max="11" width="11.140625" customWidth="1"/>
    <col min="12" max="13" width="9.85546875" customWidth="1"/>
    <col min="14" max="15" width="11" customWidth="1"/>
    <col min="18" max="18" width="19.42578125" bestFit="1" customWidth="1"/>
    <col min="20" max="20" width="11.28515625" bestFit="1" customWidth="1"/>
  </cols>
  <sheetData>
    <row r="1" spans="1:20" ht="15.75">
      <c r="A1" s="273" t="s">
        <v>379</v>
      </c>
    </row>
    <row r="2" spans="1:20">
      <c r="A2" s="274" t="s">
        <v>380</v>
      </c>
    </row>
    <row r="3" spans="1:20">
      <c r="A3" s="274"/>
    </row>
    <row r="4" spans="1:20" ht="15.75">
      <c r="A4" s="273" t="s">
        <v>381</v>
      </c>
    </row>
    <row r="5" spans="1:20" ht="15.75">
      <c r="A5" s="273"/>
    </row>
    <row r="6" spans="1:20" ht="15.75">
      <c r="A6" s="273"/>
      <c r="B6" s="275" t="s">
        <v>382</v>
      </c>
      <c r="C6" s="275"/>
      <c r="D6" s="275"/>
      <c r="E6" s="275"/>
      <c r="F6" s="275"/>
      <c r="G6" s="275"/>
      <c r="H6" s="275"/>
      <c r="I6" s="275"/>
      <c r="J6" s="275"/>
      <c r="K6" s="275"/>
      <c r="L6" s="275"/>
      <c r="M6" s="275"/>
      <c r="N6" s="275"/>
      <c r="O6" s="275"/>
    </row>
    <row r="7" spans="1:20" ht="16.5" thickBot="1">
      <c r="A7" s="273"/>
      <c r="B7" s="276"/>
      <c r="C7" s="277" t="str">
        <f>INPUTS!C3</f>
        <v>FY18-19</v>
      </c>
      <c r="D7" s="277" t="str">
        <f>INPUTS!D3</f>
        <v>FY19-20</v>
      </c>
      <c r="E7" s="277" t="str">
        <f>INPUTS!E3</f>
        <v>FY20-21</v>
      </c>
      <c r="F7" s="277" t="str">
        <f>INPUTS!F3</f>
        <v>FY21-22</v>
      </c>
      <c r="G7" s="277" t="str">
        <f>INPUTS!G3</f>
        <v>FY22-23</v>
      </c>
      <c r="H7" s="277" t="str">
        <f>INPUTS!H3</f>
        <v>FY23-24</v>
      </c>
      <c r="I7" s="277" t="str">
        <f>INPUTS!I3</f>
        <v>FY24-25</v>
      </c>
      <c r="J7" s="277" t="str">
        <f>INPUTS!J3</f>
        <v>FY25-26</v>
      </c>
      <c r="K7" s="277" t="str">
        <f>INPUTS!K3</f>
        <v>FY26-27</v>
      </c>
      <c r="L7" s="277" t="str">
        <f>INPUTS!L3</f>
        <v>FY27-28</v>
      </c>
      <c r="M7" s="277" t="str">
        <f>INPUTS!M3</f>
        <v>FY28-29</v>
      </c>
      <c r="N7" s="277" t="str">
        <f>INPUTS!N3</f>
        <v>FY29-30</v>
      </c>
      <c r="O7" s="277" t="str">
        <f>INPUTS!O3</f>
        <v>FY30-31</v>
      </c>
    </row>
    <row r="8" spans="1:20" ht="16.5" thickBot="1">
      <c r="A8" s="273"/>
      <c r="B8" s="278" t="s">
        <v>383</v>
      </c>
      <c r="C8" s="279"/>
      <c r="D8" s="279"/>
      <c r="E8" s="280"/>
      <c r="F8" s="280"/>
      <c r="G8" s="280"/>
      <c r="H8" s="280"/>
      <c r="I8" s="280"/>
      <c r="J8" s="280"/>
      <c r="K8" s="280"/>
      <c r="L8" s="280"/>
      <c r="M8" s="280"/>
      <c r="N8" s="280"/>
      <c r="O8" s="280"/>
    </row>
    <row r="9" spans="1:20" ht="15.75">
      <c r="A9" s="273"/>
      <c r="B9" s="281">
        <v>6</v>
      </c>
      <c r="C9" s="282">
        <f t="shared" ref="C9:O15" si="0">C25+C56+C83+C110</f>
        <v>66</v>
      </c>
      <c r="D9" s="282">
        <f t="shared" si="0"/>
        <v>71</v>
      </c>
      <c r="E9" s="282">
        <f t="shared" si="0"/>
        <v>72</v>
      </c>
      <c r="F9" s="282">
        <f t="shared" si="0"/>
        <v>72</v>
      </c>
      <c r="G9" s="282">
        <f t="shared" si="0"/>
        <v>82</v>
      </c>
      <c r="H9" s="282">
        <f t="shared" si="0"/>
        <v>102</v>
      </c>
      <c r="I9" s="282">
        <f t="shared" si="0"/>
        <v>207</v>
      </c>
      <c r="J9" s="282">
        <f t="shared" si="0"/>
        <v>207</v>
      </c>
      <c r="K9" s="282">
        <f t="shared" si="0"/>
        <v>207</v>
      </c>
      <c r="L9" s="282">
        <f t="shared" si="0"/>
        <v>417</v>
      </c>
      <c r="M9" s="282">
        <f t="shared" si="0"/>
        <v>420</v>
      </c>
      <c r="N9" s="282">
        <f t="shared" si="0"/>
        <v>420</v>
      </c>
      <c r="O9" s="282">
        <f t="shared" si="0"/>
        <v>420</v>
      </c>
    </row>
    <row r="10" spans="1:20" ht="15.75">
      <c r="A10" s="273"/>
      <c r="B10" s="281">
        <v>7</v>
      </c>
      <c r="C10" s="282">
        <f t="shared" si="0"/>
        <v>0</v>
      </c>
      <c r="D10" s="282">
        <f t="shared" si="0"/>
        <v>69</v>
      </c>
      <c r="E10" s="282">
        <f t="shared" si="0"/>
        <v>72</v>
      </c>
      <c r="F10" s="282">
        <f t="shared" si="0"/>
        <v>77</v>
      </c>
      <c r="G10" s="282">
        <f t="shared" si="0"/>
        <v>80</v>
      </c>
      <c r="H10" s="282">
        <f t="shared" si="0"/>
        <v>100</v>
      </c>
      <c r="I10" s="282">
        <f t="shared" si="0"/>
        <v>100</v>
      </c>
      <c r="J10" s="282">
        <f t="shared" si="0"/>
        <v>202</v>
      </c>
      <c r="K10" s="282">
        <f t="shared" si="0"/>
        <v>202</v>
      </c>
      <c r="L10" s="282">
        <f t="shared" si="0"/>
        <v>202</v>
      </c>
      <c r="M10" s="282">
        <f t="shared" si="0"/>
        <v>406</v>
      </c>
      <c r="N10" s="282">
        <f t="shared" si="0"/>
        <v>409</v>
      </c>
      <c r="O10" s="282">
        <f t="shared" si="0"/>
        <v>409</v>
      </c>
    </row>
    <row r="11" spans="1:20" ht="15.75">
      <c r="A11" s="273"/>
      <c r="B11" s="281">
        <v>8</v>
      </c>
      <c r="C11" s="282">
        <f t="shared" si="0"/>
        <v>0</v>
      </c>
      <c r="D11" s="282">
        <f t="shared" si="0"/>
        <v>0</v>
      </c>
      <c r="E11" s="282">
        <f t="shared" si="0"/>
        <v>70</v>
      </c>
      <c r="F11" s="282">
        <f t="shared" si="0"/>
        <v>70</v>
      </c>
      <c r="G11" s="282">
        <f t="shared" si="0"/>
        <v>78</v>
      </c>
      <c r="H11" s="282">
        <f t="shared" si="0"/>
        <v>100</v>
      </c>
      <c r="I11" s="282">
        <f t="shared" si="0"/>
        <v>98</v>
      </c>
      <c r="J11" s="282">
        <f t="shared" si="0"/>
        <v>98</v>
      </c>
      <c r="K11" s="282">
        <f t="shared" si="0"/>
        <v>197</v>
      </c>
      <c r="L11" s="282">
        <f t="shared" si="0"/>
        <v>197</v>
      </c>
      <c r="M11" s="282">
        <f t="shared" si="0"/>
        <v>197</v>
      </c>
      <c r="N11" s="282">
        <f t="shared" si="0"/>
        <v>395</v>
      </c>
      <c r="O11" s="282">
        <f t="shared" si="0"/>
        <v>398</v>
      </c>
    </row>
    <row r="12" spans="1:20" ht="15.75">
      <c r="A12" s="273"/>
      <c r="B12" s="281">
        <v>9</v>
      </c>
      <c r="C12" s="282">
        <f t="shared" si="0"/>
        <v>0</v>
      </c>
      <c r="D12" s="282">
        <f t="shared" si="0"/>
        <v>0</v>
      </c>
      <c r="E12" s="282">
        <f t="shared" si="0"/>
        <v>0</v>
      </c>
      <c r="F12" s="282">
        <f t="shared" si="0"/>
        <v>67</v>
      </c>
      <c r="G12" s="282">
        <f t="shared" si="0"/>
        <v>82</v>
      </c>
      <c r="H12" s="282">
        <f t="shared" si="0"/>
        <v>82</v>
      </c>
      <c r="I12" s="282">
        <f t="shared" si="0"/>
        <v>104</v>
      </c>
      <c r="J12" s="282">
        <f t="shared" si="0"/>
        <v>102</v>
      </c>
      <c r="K12" s="282">
        <f t="shared" si="0"/>
        <v>102</v>
      </c>
      <c r="L12" s="282">
        <f t="shared" si="0"/>
        <v>205</v>
      </c>
      <c r="M12" s="282">
        <f t="shared" si="0"/>
        <v>205</v>
      </c>
      <c r="N12" s="282">
        <f t="shared" si="0"/>
        <v>205</v>
      </c>
      <c r="O12" s="282">
        <f t="shared" si="0"/>
        <v>411</v>
      </c>
    </row>
    <row r="13" spans="1:20" ht="15.75">
      <c r="A13" s="273"/>
      <c r="B13" s="281">
        <v>10</v>
      </c>
      <c r="C13" s="282">
        <f t="shared" si="0"/>
        <v>0</v>
      </c>
      <c r="D13" s="282">
        <f t="shared" si="0"/>
        <v>0</v>
      </c>
      <c r="E13" s="282">
        <f t="shared" si="0"/>
        <v>0</v>
      </c>
      <c r="F13" s="282">
        <f t="shared" si="0"/>
        <v>0</v>
      </c>
      <c r="G13" s="282">
        <f t="shared" si="0"/>
        <v>79</v>
      </c>
      <c r="H13" s="282">
        <f t="shared" si="0"/>
        <v>79</v>
      </c>
      <c r="I13" s="282">
        <f t="shared" si="0"/>
        <v>79</v>
      </c>
      <c r="J13" s="282">
        <f t="shared" si="0"/>
        <v>101</v>
      </c>
      <c r="K13" s="282">
        <f t="shared" si="0"/>
        <v>99</v>
      </c>
      <c r="L13" s="282">
        <f t="shared" si="0"/>
        <v>99</v>
      </c>
      <c r="M13" s="282">
        <f t="shared" si="0"/>
        <v>199</v>
      </c>
      <c r="N13" s="282">
        <f t="shared" si="0"/>
        <v>199</v>
      </c>
      <c r="O13" s="282">
        <f t="shared" si="0"/>
        <v>199</v>
      </c>
    </row>
    <row r="14" spans="1:20" ht="15.75">
      <c r="A14" s="273"/>
      <c r="B14" s="281">
        <v>11</v>
      </c>
      <c r="C14" s="282">
        <f t="shared" si="0"/>
        <v>0</v>
      </c>
      <c r="D14" s="282">
        <f t="shared" si="0"/>
        <v>0</v>
      </c>
      <c r="E14" s="282">
        <f t="shared" si="0"/>
        <v>0</v>
      </c>
      <c r="F14" s="282">
        <f t="shared" si="0"/>
        <v>0</v>
      </c>
      <c r="G14" s="282">
        <f t="shared" si="0"/>
        <v>0</v>
      </c>
      <c r="H14" s="282">
        <f t="shared" si="0"/>
        <v>76</v>
      </c>
      <c r="I14" s="282">
        <f t="shared" si="0"/>
        <v>76</v>
      </c>
      <c r="J14" s="282">
        <f t="shared" si="0"/>
        <v>76</v>
      </c>
      <c r="K14" s="282">
        <f t="shared" si="0"/>
        <v>98</v>
      </c>
      <c r="L14" s="282">
        <f t="shared" si="0"/>
        <v>96</v>
      </c>
      <c r="M14" s="282">
        <f t="shared" si="0"/>
        <v>96</v>
      </c>
      <c r="N14" s="282">
        <f t="shared" si="0"/>
        <v>193</v>
      </c>
      <c r="O14" s="282">
        <f t="shared" si="0"/>
        <v>193</v>
      </c>
    </row>
    <row r="15" spans="1:20" ht="15.75">
      <c r="A15" s="273"/>
      <c r="B15" s="281">
        <v>12</v>
      </c>
      <c r="C15" s="282">
        <f t="shared" si="0"/>
        <v>0</v>
      </c>
      <c r="D15" s="282">
        <f t="shared" si="0"/>
        <v>0</v>
      </c>
      <c r="E15" s="282">
        <f t="shared" si="0"/>
        <v>0</v>
      </c>
      <c r="F15" s="282">
        <f t="shared" si="0"/>
        <v>0</v>
      </c>
      <c r="G15" s="282">
        <f t="shared" si="0"/>
        <v>0</v>
      </c>
      <c r="H15" s="282">
        <f t="shared" si="0"/>
        <v>0</v>
      </c>
      <c r="I15" s="282">
        <f t="shared" si="0"/>
        <v>73</v>
      </c>
      <c r="J15" s="282">
        <f t="shared" si="0"/>
        <v>73</v>
      </c>
      <c r="K15" s="282">
        <f t="shared" si="0"/>
        <v>73</v>
      </c>
      <c r="L15" s="282">
        <f t="shared" si="0"/>
        <v>95</v>
      </c>
      <c r="M15" s="282">
        <f t="shared" si="0"/>
        <v>93</v>
      </c>
      <c r="N15" s="282">
        <f t="shared" si="0"/>
        <v>93</v>
      </c>
      <c r="O15" s="282">
        <f t="shared" si="0"/>
        <v>187</v>
      </c>
    </row>
    <row r="16" spans="1:20" ht="15.75">
      <c r="A16" s="273"/>
      <c r="B16" s="283" t="s">
        <v>384</v>
      </c>
      <c r="C16" s="284">
        <f>SUM(C9:C15)</f>
        <v>66</v>
      </c>
      <c r="D16" s="284">
        <f t="shared" ref="D16:O16" si="1">SUM(D9:D15)</f>
        <v>140</v>
      </c>
      <c r="E16" s="284">
        <f t="shared" si="1"/>
        <v>214</v>
      </c>
      <c r="F16" s="284">
        <f t="shared" si="1"/>
        <v>286</v>
      </c>
      <c r="G16" s="284">
        <f t="shared" si="1"/>
        <v>401</v>
      </c>
      <c r="H16" s="284">
        <f t="shared" si="1"/>
        <v>539</v>
      </c>
      <c r="I16" s="284">
        <f t="shared" si="1"/>
        <v>737</v>
      </c>
      <c r="J16" s="284">
        <f t="shared" si="1"/>
        <v>859</v>
      </c>
      <c r="K16" s="284">
        <f t="shared" si="1"/>
        <v>978</v>
      </c>
      <c r="L16" s="284">
        <f t="shared" si="1"/>
        <v>1311</v>
      </c>
      <c r="M16" s="284">
        <f t="shared" si="1"/>
        <v>1616</v>
      </c>
      <c r="N16" s="284">
        <f t="shared" si="1"/>
        <v>1914</v>
      </c>
      <c r="O16" s="284">
        <f t="shared" si="1"/>
        <v>2217</v>
      </c>
      <c r="T16" s="231"/>
    </row>
    <row r="17" spans="1:24" ht="15.75">
      <c r="A17" s="273"/>
      <c r="B17" s="285" t="s">
        <v>385</v>
      </c>
      <c r="C17" s="286">
        <f t="shared" ref="C17:O17" si="2">SUM(C9:C11)</f>
        <v>66</v>
      </c>
      <c r="D17" s="286">
        <f t="shared" si="2"/>
        <v>140</v>
      </c>
      <c r="E17" s="286">
        <f t="shared" si="2"/>
        <v>214</v>
      </c>
      <c r="F17" s="286">
        <f t="shared" si="2"/>
        <v>219</v>
      </c>
      <c r="G17" s="286">
        <f t="shared" si="2"/>
        <v>240</v>
      </c>
      <c r="H17" s="286">
        <f t="shared" si="2"/>
        <v>302</v>
      </c>
      <c r="I17" s="286">
        <f t="shared" si="2"/>
        <v>405</v>
      </c>
      <c r="J17" s="286">
        <f t="shared" si="2"/>
        <v>507</v>
      </c>
      <c r="K17" s="286">
        <f t="shared" si="2"/>
        <v>606</v>
      </c>
      <c r="L17" s="286">
        <f t="shared" si="2"/>
        <v>816</v>
      </c>
      <c r="M17" s="286">
        <f t="shared" si="2"/>
        <v>1023</v>
      </c>
      <c r="N17" s="286">
        <f t="shared" si="2"/>
        <v>1224</v>
      </c>
      <c r="O17" s="286">
        <f t="shared" si="2"/>
        <v>1227</v>
      </c>
    </row>
    <row r="18" spans="1:24" ht="16.5" thickBot="1">
      <c r="A18" s="273"/>
      <c r="B18" s="287" t="s">
        <v>386</v>
      </c>
      <c r="C18" s="288">
        <f t="shared" ref="C18:O18" si="3">SUM(C12:C15)</f>
        <v>0</v>
      </c>
      <c r="D18" s="288">
        <f t="shared" si="3"/>
        <v>0</v>
      </c>
      <c r="E18" s="288">
        <f t="shared" si="3"/>
        <v>0</v>
      </c>
      <c r="F18" s="288">
        <f t="shared" si="3"/>
        <v>67</v>
      </c>
      <c r="G18" s="288">
        <f t="shared" si="3"/>
        <v>161</v>
      </c>
      <c r="H18" s="288">
        <f t="shared" si="3"/>
        <v>237</v>
      </c>
      <c r="I18" s="288">
        <f t="shared" si="3"/>
        <v>332</v>
      </c>
      <c r="J18" s="288">
        <f t="shared" si="3"/>
        <v>352</v>
      </c>
      <c r="K18" s="288">
        <f t="shared" si="3"/>
        <v>372</v>
      </c>
      <c r="L18" s="288">
        <f t="shared" si="3"/>
        <v>495</v>
      </c>
      <c r="M18" s="288">
        <f t="shared" si="3"/>
        <v>593</v>
      </c>
      <c r="N18" s="288">
        <f t="shared" si="3"/>
        <v>690</v>
      </c>
      <c r="O18" s="288">
        <f t="shared" si="3"/>
        <v>990</v>
      </c>
    </row>
    <row r="19" spans="1:24" ht="15.75">
      <c r="A19" s="273"/>
      <c r="B19" s="273"/>
      <c r="C19" s="289"/>
      <c r="D19" s="289"/>
      <c r="E19" s="289"/>
      <c r="F19" s="289"/>
      <c r="G19" s="289"/>
      <c r="H19" s="289"/>
      <c r="I19" s="289"/>
      <c r="J19" s="289"/>
      <c r="K19" s="289"/>
      <c r="L19" s="289"/>
      <c r="M19" s="289"/>
      <c r="N19" s="289"/>
      <c r="O19" s="289"/>
    </row>
    <row r="20" spans="1:24" ht="15.75">
      <c r="A20" s="273"/>
      <c r="B20" s="273"/>
      <c r="C20" s="289"/>
      <c r="D20" s="289"/>
      <c r="E20" s="289"/>
      <c r="F20" s="289"/>
      <c r="G20" s="289"/>
      <c r="H20" s="289"/>
      <c r="I20" s="289"/>
      <c r="J20" s="289"/>
      <c r="K20" s="289"/>
      <c r="L20" s="289"/>
      <c r="M20" s="289"/>
      <c r="N20" s="289"/>
      <c r="O20" s="289"/>
    </row>
    <row r="21" spans="1:24" ht="15.75">
      <c r="A21" s="273" t="e">
        <f>#REF!</f>
        <v>#REF!</v>
      </c>
    </row>
    <row r="22" spans="1:24" ht="15.75">
      <c r="B22" s="275" t="e">
        <f>A21&amp;" "&amp;"Enrollment Projections"</f>
        <v>#REF!</v>
      </c>
      <c r="C22" s="275"/>
      <c r="D22" s="275"/>
      <c r="E22" s="275"/>
      <c r="F22" s="275"/>
      <c r="G22" s="275"/>
      <c r="H22" s="275"/>
      <c r="I22" s="275"/>
      <c r="J22" s="275"/>
      <c r="K22" s="275"/>
      <c r="L22" s="275"/>
      <c r="M22" s="275"/>
      <c r="N22" s="275"/>
      <c r="O22" s="275"/>
    </row>
    <row r="23" spans="1:24" ht="16.5" thickBot="1">
      <c r="B23" s="276"/>
      <c r="C23" s="277" t="str">
        <f>INPUTS!C3</f>
        <v>FY18-19</v>
      </c>
      <c r="D23" s="277" t="str">
        <f>INPUTS!D3</f>
        <v>FY19-20</v>
      </c>
      <c r="E23" s="277" t="str">
        <f>INPUTS!E3</f>
        <v>FY20-21</v>
      </c>
      <c r="F23" s="277" t="str">
        <f>INPUTS!F3</f>
        <v>FY21-22</v>
      </c>
      <c r="G23" s="277" t="str">
        <f>INPUTS!G3</f>
        <v>FY22-23</v>
      </c>
      <c r="H23" s="277" t="str">
        <f>INPUTS!H3</f>
        <v>FY23-24</v>
      </c>
      <c r="I23" s="277" t="str">
        <f>INPUTS!I3</f>
        <v>FY24-25</v>
      </c>
      <c r="J23" s="277" t="str">
        <f>INPUTS!J3</f>
        <v>FY25-26</v>
      </c>
      <c r="K23" s="277" t="str">
        <f>INPUTS!K3</f>
        <v>FY26-27</v>
      </c>
      <c r="L23" s="277" t="str">
        <f>INPUTS!L3</f>
        <v>FY27-28</v>
      </c>
      <c r="M23" s="277" t="str">
        <f>INPUTS!M3</f>
        <v>FY28-29</v>
      </c>
      <c r="N23" s="277" t="str">
        <f>INPUTS!N3</f>
        <v>FY29-30</v>
      </c>
      <c r="O23" s="277" t="str">
        <f>INPUTS!O3</f>
        <v>FY30-31</v>
      </c>
    </row>
    <row r="24" spans="1:24" ht="16.5" thickBot="1">
      <c r="B24" s="278" t="s">
        <v>387</v>
      </c>
      <c r="C24" s="279"/>
      <c r="D24" s="279"/>
      <c r="E24" s="280"/>
      <c r="F24" s="280"/>
      <c r="G24" s="280"/>
      <c r="H24" s="280"/>
      <c r="I24" s="280"/>
      <c r="J24" s="280"/>
      <c r="K24" s="280"/>
      <c r="L24" s="280"/>
      <c r="M24" s="280"/>
      <c r="N24" s="280"/>
      <c r="O24" s="280"/>
    </row>
    <row r="25" spans="1:24" ht="15.75">
      <c r="B25" s="281">
        <v>6</v>
      </c>
      <c r="C25" s="282">
        <v>66</v>
      </c>
      <c r="D25" s="282">
        <v>71</v>
      </c>
      <c r="E25" s="282">
        <v>72</v>
      </c>
      <c r="F25" s="282">
        <v>72</v>
      </c>
      <c r="G25" s="282">
        <v>82</v>
      </c>
      <c r="H25" s="282">
        <f>G25+H37</f>
        <v>102</v>
      </c>
      <c r="I25" s="282">
        <f t="shared" ref="I25:O25" si="4">H25+I37</f>
        <v>102</v>
      </c>
      <c r="J25" s="282">
        <f t="shared" si="4"/>
        <v>102</v>
      </c>
      <c r="K25" s="282">
        <f t="shared" si="4"/>
        <v>102</v>
      </c>
      <c r="L25" s="282">
        <f t="shared" si="4"/>
        <v>102</v>
      </c>
      <c r="M25" s="282">
        <f t="shared" si="4"/>
        <v>105</v>
      </c>
      <c r="N25" s="282">
        <f t="shared" si="4"/>
        <v>105</v>
      </c>
      <c r="O25" s="282">
        <f t="shared" si="4"/>
        <v>105</v>
      </c>
      <c r="U25" s="250"/>
      <c r="X25" s="250"/>
    </row>
    <row r="26" spans="1:24" ht="15.75">
      <c r="B26" s="281">
        <v>7</v>
      </c>
      <c r="C26" s="282">
        <v>0</v>
      </c>
      <c r="D26" s="282">
        <v>69</v>
      </c>
      <c r="E26" s="282">
        <v>72</v>
      </c>
      <c r="F26" s="282">
        <v>77</v>
      </c>
      <c r="G26" s="282">
        <v>80</v>
      </c>
      <c r="H26" s="282">
        <f>G25+H38</f>
        <v>100</v>
      </c>
      <c r="I26" s="282">
        <f t="shared" ref="I26:O27" si="5">H25+I38</f>
        <v>100</v>
      </c>
      <c r="J26" s="282">
        <f t="shared" si="5"/>
        <v>100</v>
      </c>
      <c r="K26" s="282">
        <f t="shared" si="5"/>
        <v>100</v>
      </c>
      <c r="L26" s="282">
        <f t="shared" si="5"/>
        <v>100</v>
      </c>
      <c r="M26" s="282">
        <f t="shared" si="5"/>
        <v>100</v>
      </c>
      <c r="N26" s="282">
        <f t="shared" si="5"/>
        <v>103</v>
      </c>
      <c r="O26" s="282">
        <f t="shared" si="5"/>
        <v>103</v>
      </c>
      <c r="R26" s="250"/>
    </row>
    <row r="27" spans="1:24" ht="15.75">
      <c r="B27" s="281">
        <v>8</v>
      </c>
      <c r="C27" s="282">
        <v>0</v>
      </c>
      <c r="D27" s="282">
        <v>0</v>
      </c>
      <c r="E27" s="282">
        <v>70</v>
      </c>
      <c r="F27" s="282">
        <v>70</v>
      </c>
      <c r="G27" s="282">
        <v>78</v>
      </c>
      <c r="H27" s="282">
        <f>G26+H39</f>
        <v>100</v>
      </c>
      <c r="I27" s="282">
        <f t="shared" si="5"/>
        <v>98</v>
      </c>
      <c r="J27" s="282">
        <f t="shared" si="5"/>
        <v>98</v>
      </c>
      <c r="K27" s="282">
        <f t="shared" si="5"/>
        <v>98</v>
      </c>
      <c r="L27" s="282">
        <f t="shared" si="5"/>
        <v>98</v>
      </c>
      <c r="M27" s="282">
        <f t="shared" si="5"/>
        <v>98</v>
      </c>
      <c r="N27" s="282">
        <f t="shared" si="5"/>
        <v>98</v>
      </c>
      <c r="O27" s="282">
        <f t="shared" si="5"/>
        <v>101</v>
      </c>
      <c r="V27" s="251"/>
    </row>
    <row r="28" spans="1:24" ht="15.75">
      <c r="B28" s="281">
        <v>9</v>
      </c>
      <c r="C28" s="282">
        <v>0</v>
      </c>
      <c r="D28" s="282">
        <v>0</v>
      </c>
      <c r="E28" s="282">
        <v>0</v>
      </c>
      <c r="F28" s="282">
        <v>67</v>
      </c>
      <c r="G28" s="282">
        <v>82</v>
      </c>
      <c r="H28" s="282">
        <f>G27+H42</f>
        <v>82</v>
      </c>
      <c r="I28" s="282">
        <f t="shared" ref="I28:O31" si="6">H27+I42</f>
        <v>104</v>
      </c>
      <c r="J28" s="282">
        <f t="shared" si="6"/>
        <v>102</v>
      </c>
      <c r="K28" s="282">
        <f t="shared" si="6"/>
        <v>102</v>
      </c>
      <c r="L28" s="282">
        <f t="shared" si="6"/>
        <v>102</v>
      </c>
      <c r="M28" s="282">
        <f t="shared" si="6"/>
        <v>102</v>
      </c>
      <c r="N28" s="282">
        <f t="shared" si="6"/>
        <v>102</v>
      </c>
      <c r="O28" s="282">
        <f t="shared" si="6"/>
        <v>102</v>
      </c>
      <c r="V28" s="251"/>
    </row>
    <row r="29" spans="1:24" ht="15.75">
      <c r="B29" s="281">
        <v>10</v>
      </c>
      <c r="C29" s="282">
        <v>0</v>
      </c>
      <c r="D29" s="282">
        <v>0</v>
      </c>
      <c r="E29" s="282">
        <v>0</v>
      </c>
      <c r="F29" s="282">
        <v>0</v>
      </c>
      <c r="G29" s="282">
        <v>79</v>
      </c>
      <c r="H29" s="290">
        <f>G28+H43</f>
        <v>79</v>
      </c>
      <c r="I29" s="282">
        <f t="shared" si="6"/>
        <v>79</v>
      </c>
      <c r="J29" s="282">
        <f t="shared" si="6"/>
        <v>101</v>
      </c>
      <c r="K29" s="282">
        <f t="shared" si="6"/>
        <v>99</v>
      </c>
      <c r="L29" s="282">
        <f t="shared" si="6"/>
        <v>99</v>
      </c>
      <c r="M29" s="282">
        <f t="shared" si="6"/>
        <v>99</v>
      </c>
      <c r="N29" s="282">
        <f t="shared" si="6"/>
        <v>99</v>
      </c>
      <c r="O29" s="282">
        <f t="shared" si="6"/>
        <v>99</v>
      </c>
      <c r="V29" s="251"/>
    </row>
    <row r="30" spans="1:24" ht="15.75">
      <c r="B30" s="281">
        <v>11</v>
      </c>
      <c r="C30" s="282">
        <v>0</v>
      </c>
      <c r="D30" s="282">
        <v>0</v>
      </c>
      <c r="E30" s="282">
        <v>0</v>
      </c>
      <c r="F30" s="282">
        <v>0</v>
      </c>
      <c r="G30" s="282">
        <f t="shared" ref="G30:G31" si="7">F29</f>
        <v>0</v>
      </c>
      <c r="H30" s="290">
        <f>G29+H44</f>
        <v>76</v>
      </c>
      <c r="I30" s="282">
        <f t="shared" si="6"/>
        <v>76</v>
      </c>
      <c r="J30" s="282">
        <f t="shared" si="6"/>
        <v>76</v>
      </c>
      <c r="K30" s="282">
        <f t="shared" si="6"/>
        <v>98</v>
      </c>
      <c r="L30" s="282">
        <f t="shared" si="6"/>
        <v>96</v>
      </c>
      <c r="M30" s="282">
        <f t="shared" si="6"/>
        <v>96</v>
      </c>
      <c r="N30" s="282">
        <f t="shared" si="6"/>
        <v>96</v>
      </c>
      <c r="O30" s="282">
        <f t="shared" si="6"/>
        <v>96</v>
      </c>
      <c r="V30" s="251"/>
    </row>
    <row r="31" spans="1:24" ht="15.75">
      <c r="B31" s="281">
        <v>12</v>
      </c>
      <c r="C31" s="282">
        <v>0</v>
      </c>
      <c r="D31" s="282">
        <v>0</v>
      </c>
      <c r="E31" s="282">
        <v>0</v>
      </c>
      <c r="F31" s="282">
        <v>0</v>
      </c>
      <c r="G31" s="282">
        <f t="shared" si="7"/>
        <v>0</v>
      </c>
      <c r="H31" s="282">
        <v>0</v>
      </c>
      <c r="I31" s="282">
        <f>H30+I45</f>
        <v>73</v>
      </c>
      <c r="J31" s="282">
        <f t="shared" si="6"/>
        <v>73</v>
      </c>
      <c r="K31" s="282">
        <f t="shared" si="6"/>
        <v>73</v>
      </c>
      <c r="L31" s="282">
        <f t="shared" si="6"/>
        <v>95</v>
      </c>
      <c r="M31" s="282">
        <f t="shared" si="6"/>
        <v>93</v>
      </c>
      <c r="N31" s="282">
        <f t="shared" si="6"/>
        <v>93</v>
      </c>
      <c r="O31" s="282">
        <f t="shared" si="6"/>
        <v>93</v>
      </c>
      <c r="V31" s="251"/>
    </row>
    <row r="32" spans="1:24" ht="15.75">
      <c r="B32" s="283" t="s">
        <v>384</v>
      </c>
      <c r="C32" s="284">
        <f t="shared" ref="C32" si="8">SUM(C25:C31)</f>
        <v>66</v>
      </c>
      <c r="D32" s="284">
        <f>SUM(D25:D31)</f>
        <v>140</v>
      </c>
      <c r="E32" s="284">
        <f t="shared" ref="E32:O32" si="9">SUM(E25:E31)</f>
        <v>214</v>
      </c>
      <c r="F32" s="284">
        <f t="shared" si="9"/>
        <v>286</v>
      </c>
      <c r="G32" s="284">
        <f>SUM(G25:G31)</f>
        <v>401</v>
      </c>
      <c r="H32" s="284">
        <f t="shared" si="9"/>
        <v>539</v>
      </c>
      <c r="I32" s="284">
        <f t="shared" si="9"/>
        <v>632</v>
      </c>
      <c r="J32" s="284">
        <f t="shared" si="9"/>
        <v>652</v>
      </c>
      <c r="K32" s="284">
        <f t="shared" si="9"/>
        <v>672</v>
      </c>
      <c r="L32" s="284">
        <f t="shared" si="9"/>
        <v>692</v>
      </c>
      <c r="M32" s="284">
        <f t="shared" si="9"/>
        <v>693</v>
      </c>
      <c r="N32" s="284">
        <f t="shared" si="9"/>
        <v>696</v>
      </c>
      <c r="O32" s="284">
        <f t="shared" si="9"/>
        <v>699</v>
      </c>
      <c r="V32" s="251"/>
    </row>
    <row r="33" spans="2:38" ht="15.75">
      <c r="B33" s="285" t="s">
        <v>385</v>
      </c>
      <c r="C33" s="286">
        <f t="shared" ref="C33" si="10">SUM(C25:C27)</f>
        <v>66</v>
      </c>
      <c r="D33" s="286">
        <f>SUM(D25:D27)</f>
        <v>140</v>
      </c>
      <c r="E33" s="286">
        <f>SUM(E25:E27)</f>
        <v>214</v>
      </c>
      <c r="F33" s="286">
        <f>SUM(F25:F27)</f>
        <v>219</v>
      </c>
      <c r="G33" s="286">
        <f>SUM(G25:G27)</f>
        <v>240</v>
      </c>
      <c r="H33" s="286">
        <f t="shared" ref="H33:O33" si="11">SUM(H25:H27)</f>
        <v>302</v>
      </c>
      <c r="I33" s="286">
        <f t="shared" si="11"/>
        <v>300</v>
      </c>
      <c r="J33" s="286">
        <f t="shared" si="11"/>
        <v>300</v>
      </c>
      <c r="K33" s="286">
        <f t="shared" si="11"/>
        <v>300</v>
      </c>
      <c r="L33" s="286">
        <f t="shared" si="11"/>
        <v>300</v>
      </c>
      <c r="M33" s="286">
        <f t="shared" si="11"/>
        <v>303</v>
      </c>
      <c r="N33" s="286">
        <f t="shared" si="11"/>
        <v>306</v>
      </c>
      <c r="O33" s="286">
        <f t="shared" si="11"/>
        <v>309</v>
      </c>
      <c r="U33" s="87"/>
      <c r="X33" s="87"/>
    </row>
    <row r="34" spans="2:38" ht="16.5" thickBot="1">
      <c r="B34" s="287" t="s">
        <v>386</v>
      </c>
      <c r="C34" s="288">
        <f t="shared" ref="C34" si="12">SUM(C28:C31)</f>
        <v>0</v>
      </c>
      <c r="D34" s="288">
        <f>SUM(D28:D31)</f>
        <v>0</v>
      </c>
      <c r="E34" s="288">
        <f>SUM(E28:E31)</f>
        <v>0</v>
      </c>
      <c r="F34" s="288">
        <f>SUM(F28:F31)</f>
        <v>67</v>
      </c>
      <c r="G34" s="288">
        <f>SUM(G28:G31)</f>
        <v>161</v>
      </c>
      <c r="H34" s="288">
        <f t="shared" ref="H34:O34" si="13">SUM(H28:H31)</f>
        <v>237</v>
      </c>
      <c r="I34" s="288">
        <f t="shared" si="13"/>
        <v>332</v>
      </c>
      <c r="J34" s="288">
        <f t="shared" si="13"/>
        <v>352</v>
      </c>
      <c r="K34" s="288">
        <f t="shared" si="13"/>
        <v>372</v>
      </c>
      <c r="L34" s="288">
        <f t="shared" si="13"/>
        <v>392</v>
      </c>
      <c r="M34" s="288">
        <f t="shared" si="13"/>
        <v>390</v>
      </c>
      <c r="N34" s="288">
        <f t="shared" si="13"/>
        <v>390</v>
      </c>
      <c r="O34" s="288">
        <f t="shared" si="13"/>
        <v>390</v>
      </c>
    </row>
    <row r="35" spans="2:38" ht="15.75">
      <c r="U35" s="291" t="s">
        <v>388</v>
      </c>
      <c r="V35" s="291" t="s">
        <v>389</v>
      </c>
      <c r="W35" s="291" t="s">
        <v>390</v>
      </c>
      <c r="X35" s="291" t="s">
        <v>391</v>
      </c>
      <c r="Y35" s="291" t="s">
        <v>392</v>
      </c>
      <c r="Z35" s="291" t="s">
        <v>393</v>
      </c>
      <c r="AA35" s="291" t="s">
        <v>394</v>
      </c>
      <c r="AB35" s="291" t="s">
        <v>395</v>
      </c>
      <c r="AE35" s="291" t="s">
        <v>388</v>
      </c>
      <c r="AF35" s="291" t="s">
        <v>389</v>
      </c>
      <c r="AG35" s="291" t="s">
        <v>390</v>
      </c>
      <c r="AH35" s="291" t="s">
        <v>391</v>
      </c>
      <c r="AI35" s="291" t="s">
        <v>392</v>
      </c>
      <c r="AJ35" s="291" t="s">
        <v>393</v>
      </c>
      <c r="AK35" s="291" t="s">
        <v>394</v>
      </c>
      <c r="AL35" s="291" t="s">
        <v>395</v>
      </c>
    </row>
    <row r="36" spans="2:38" ht="16.5" thickBot="1">
      <c r="B36" s="292" t="s">
        <v>396</v>
      </c>
      <c r="H36" s="250" t="str">
        <f t="shared" ref="H36:O39" si="14">CHOOSE($Q$37,U36,AE36)</f>
        <v>Case 2: Chatt Prep enrollment grows to 700</v>
      </c>
      <c r="Q36" s="250" t="s">
        <v>397</v>
      </c>
      <c r="U36" s="250" t="s">
        <v>398</v>
      </c>
      <c r="AE36" s="250" t="s">
        <v>399</v>
      </c>
    </row>
    <row r="37" spans="2:38" ht="16.5" thickBot="1">
      <c r="B37" s="293" t="s">
        <v>400</v>
      </c>
      <c r="H37" s="294">
        <f t="shared" si="14"/>
        <v>20</v>
      </c>
      <c r="I37" s="294">
        <f t="shared" si="14"/>
        <v>0</v>
      </c>
      <c r="J37" s="294">
        <f t="shared" si="14"/>
        <v>0</v>
      </c>
      <c r="K37" s="294">
        <f t="shared" si="14"/>
        <v>0</v>
      </c>
      <c r="L37" s="294">
        <f t="shared" si="14"/>
        <v>0</v>
      </c>
      <c r="M37" s="294">
        <f t="shared" si="14"/>
        <v>3</v>
      </c>
      <c r="N37" s="294">
        <f t="shared" si="14"/>
        <v>0</v>
      </c>
      <c r="O37" s="294">
        <f t="shared" si="14"/>
        <v>0</v>
      </c>
      <c r="Q37" s="295">
        <v>2</v>
      </c>
      <c r="U37" s="296">
        <v>0</v>
      </c>
      <c r="V37" s="296">
        <v>0</v>
      </c>
      <c r="W37" s="296">
        <v>0</v>
      </c>
      <c r="X37" s="296">
        <v>0</v>
      </c>
      <c r="Y37" s="296">
        <v>0</v>
      </c>
      <c r="Z37" s="296">
        <v>0</v>
      </c>
      <c r="AA37" s="296">
        <v>0</v>
      </c>
      <c r="AB37" s="296">
        <v>0</v>
      </c>
      <c r="AE37" s="296">
        <v>20</v>
      </c>
      <c r="AF37" s="296">
        <v>0</v>
      </c>
      <c r="AG37" s="296">
        <v>0</v>
      </c>
      <c r="AH37" s="296">
        <v>0</v>
      </c>
      <c r="AI37" s="296">
        <v>0</v>
      </c>
      <c r="AJ37" s="296">
        <v>3</v>
      </c>
      <c r="AK37" s="296">
        <v>0</v>
      </c>
      <c r="AL37" s="296">
        <v>0</v>
      </c>
    </row>
    <row r="38" spans="2:38" ht="15.75">
      <c r="B38" s="293" t="s">
        <v>401</v>
      </c>
      <c r="H38" s="294">
        <f t="shared" si="14"/>
        <v>18</v>
      </c>
      <c r="I38" s="294">
        <f t="shared" si="14"/>
        <v>-2</v>
      </c>
      <c r="J38" s="294">
        <f t="shared" si="14"/>
        <v>-2</v>
      </c>
      <c r="K38" s="294">
        <f t="shared" si="14"/>
        <v>-2</v>
      </c>
      <c r="L38" s="294">
        <f t="shared" si="14"/>
        <v>-2</v>
      </c>
      <c r="M38" s="294">
        <f t="shared" si="14"/>
        <v>-2</v>
      </c>
      <c r="N38" s="294">
        <f t="shared" si="14"/>
        <v>-2</v>
      </c>
      <c r="O38" s="294">
        <f t="shared" si="14"/>
        <v>-2</v>
      </c>
      <c r="U38" s="296">
        <v>-2</v>
      </c>
      <c r="V38" s="296">
        <v>-2</v>
      </c>
      <c r="W38" s="296">
        <v>-2</v>
      </c>
      <c r="X38" s="296">
        <v>-2</v>
      </c>
      <c r="Y38" s="296">
        <v>-2</v>
      </c>
      <c r="Z38" s="296">
        <v>-2</v>
      </c>
      <c r="AA38" s="296">
        <v>-2</v>
      </c>
      <c r="AB38" s="296">
        <v>-2</v>
      </c>
      <c r="AE38" s="296">
        <v>18</v>
      </c>
      <c r="AF38" s="296">
        <v>-2</v>
      </c>
      <c r="AG38" s="296">
        <v>-2</v>
      </c>
      <c r="AH38" s="296">
        <v>-2</v>
      </c>
      <c r="AI38" s="296">
        <v>-2</v>
      </c>
      <c r="AJ38" s="296">
        <v>-2</v>
      </c>
      <c r="AK38" s="296">
        <v>-2</v>
      </c>
      <c r="AL38" s="296">
        <v>-2</v>
      </c>
    </row>
    <row r="39" spans="2:38" ht="15.75">
      <c r="B39" s="293" t="s">
        <v>402</v>
      </c>
      <c r="H39" s="294">
        <f t="shared" si="14"/>
        <v>20</v>
      </c>
      <c r="I39" s="294">
        <f t="shared" si="14"/>
        <v>-2</v>
      </c>
      <c r="J39" s="294">
        <f t="shared" si="14"/>
        <v>-2</v>
      </c>
      <c r="K39" s="294">
        <f t="shared" si="14"/>
        <v>-2</v>
      </c>
      <c r="L39" s="294">
        <f t="shared" si="14"/>
        <v>-2</v>
      </c>
      <c r="M39" s="294">
        <f t="shared" si="14"/>
        <v>-2</v>
      </c>
      <c r="N39" s="294">
        <f t="shared" si="14"/>
        <v>-2</v>
      </c>
      <c r="O39" s="294">
        <f t="shared" si="14"/>
        <v>-2</v>
      </c>
      <c r="U39" s="296">
        <v>-2</v>
      </c>
      <c r="V39" s="296">
        <v>-2</v>
      </c>
      <c r="W39" s="296">
        <v>-2</v>
      </c>
      <c r="X39" s="296">
        <v>-2</v>
      </c>
      <c r="Y39" s="296">
        <v>-2</v>
      </c>
      <c r="Z39" s="296">
        <v>-2</v>
      </c>
      <c r="AA39" s="296">
        <v>-2</v>
      </c>
      <c r="AB39" s="296">
        <v>-2</v>
      </c>
      <c r="AE39" s="296">
        <v>20</v>
      </c>
      <c r="AF39" s="296">
        <v>-2</v>
      </c>
      <c r="AG39" s="296">
        <v>-2</v>
      </c>
      <c r="AH39" s="296">
        <v>-2</v>
      </c>
      <c r="AI39" s="296">
        <v>-2</v>
      </c>
      <c r="AJ39" s="296">
        <v>-2</v>
      </c>
      <c r="AK39" s="296">
        <v>-2</v>
      </c>
      <c r="AL39" s="296">
        <v>-2</v>
      </c>
    </row>
    <row r="40" spans="2:38" ht="15.75">
      <c r="B40" s="293" t="s">
        <v>403</v>
      </c>
      <c r="H40" s="297">
        <f>SUM(H36:H39)</f>
        <v>58</v>
      </c>
      <c r="I40" s="297">
        <f t="shared" ref="I40:O40" si="15">SUM(I36:I39)</f>
        <v>-4</v>
      </c>
      <c r="J40" s="297">
        <f t="shared" si="15"/>
        <v>-4</v>
      </c>
      <c r="K40" s="297">
        <f t="shared" si="15"/>
        <v>-4</v>
      </c>
      <c r="L40" s="297">
        <f t="shared" si="15"/>
        <v>-4</v>
      </c>
      <c r="M40" s="297">
        <f t="shared" si="15"/>
        <v>-1</v>
      </c>
      <c r="N40" s="297">
        <f t="shared" si="15"/>
        <v>-4</v>
      </c>
      <c r="O40" s="297">
        <f t="shared" si="15"/>
        <v>-4</v>
      </c>
      <c r="U40" s="297">
        <f>SUM(U36:U39)</f>
        <v>-4</v>
      </c>
      <c r="V40" s="297">
        <f t="shared" ref="V40:AB40" si="16">SUM(V36:V39)</f>
        <v>-4</v>
      </c>
      <c r="W40" s="297">
        <f t="shared" si="16"/>
        <v>-4</v>
      </c>
      <c r="X40" s="297">
        <f t="shared" si="16"/>
        <v>-4</v>
      </c>
      <c r="Y40" s="297">
        <f t="shared" si="16"/>
        <v>-4</v>
      </c>
      <c r="Z40" s="297">
        <f t="shared" si="16"/>
        <v>-4</v>
      </c>
      <c r="AA40" s="297">
        <f t="shared" si="16"/>
        <v>-4</v>
      </c>
      <c r="AB40" s="297">
        <f t="shared" si="16"/>
        <v>-4</v>
      </c>
      <c r="AE40" s="297">
        <f>SUM(AE37:AE39)</f>
        <v>58</v>
      </c>
      <c r="AF40" s="297">
        <f t="shared" ref="AF40:AL40" si="17">SUM(AF37:AF39)</f>
        <v>-4</v>
      </c>
      <c r="AG40" s="297">
        <f t="shared" si="17"/>
        <v>-4</v>
      </c>
      <c r="AH40" s="297">
        <f t="shared" si="17"/>
        <v>-4</v>
      </c>
      <c r="AI40" s="297">
        <f t="shared" si="17"/>
        <v>-4</v>
      </c>
      <c r="AJ40" s="297">
        <f t="shared" si="17"/>
        <v>-1</v>
      </c>
      <c r="AK40" s="297">
        <f t="shared" si="17"/>
        <v>-4</v>
      </c>
      <c r="AL40" s="297">
        <f t="shared" si="17"/>
        <v>-4</v>
      </c>
    </row>
    <row r="41" spans="2:38" ht="15.75">
      <c r="B41" s="292"/>
    </row>
    <row r="42" spans="2:38" ht="15.75">
      <c r="B42" s="293" t="s">
        <v>404</v>
      </c>
      <c r="H42" s="294">
        <f t="shared" ref="H42:O45" si="18">CHOOSE($Q$37,U42,AE42)</f>
        <v>4</v>
      </c>
      <c r="I42" s="294">
        <f t="shared" si="18"/>
        <v>4</v>
      </c>
      <c r="J42" s="294">
        <f t="shared" si="18"/>
        <v>4</v>
      </c>
      <c r="K42" s="294">
        <f t="shared" si="18"/>
        <v>4</v>
      </c>
      <c r="L42" s="294">
        <f t="shared" si="18"/>
        <v>4</v>
      </c>
      <c r="M42" s="294">
        <f t="shared" si="18"/>
        <v>4</v>
      </c>
      <c r="N42" s="294">
        <f t="shared" si="18"/>
        <v>4</v>
      </c>
      <c r="O42" s="294">
        <f t="shared" si="18"/>
        <v>4</v>
      </c>
      <c r="Q42" t="s">
        <v>405</v>
      </c>
      <c r="U42" s="296">
        <v>5</v>
      </c>
      <c r="V42" s="296">
        <v>5</v>
      </c>
      <c r="W42" s="296">
        <v>5</v>
      </c>
      <c r="X42" s="296">
        <v>4</v>
      </c>
      <c r="Y42" s="296">
        <v>4</v>
      </c>
      <c r="Z42" s="296">
        <v>4</v>
      </c>
      <c r="AA42" s="296">
        <v>4</v>
      </c>
      <c r="AB42" s="296">
        <v>4</v>
      </c>
      <c r="AE42" s="296">
        <v>4</v>
      </c>
      <c r="AF42" s="296">
        <v>4</v>
      </c>
      <c r="AG42" s="296">
        <v>4</v>
      </c>
      <c r="AH42" s="296">
        <v>4</v>
      </c>
      <c r="AI42" s="296">
        <v>4</v>
      </c>
      <c r="AJ42" s="296">
        <v>4</v>
      </c>
      <c r="AK42" s="296">
        <v>4</v>
      </c>
      <c r="AL42" s="296">
        <v>4</v>
      </c>
    </row>
    <row r="43" spans="2:38" ht="15.75">
      <c r="B43" s="293" t="s">
        <v>406</v>
      </c>
      <c r="H43" s="294">
        <f t="shared" si="18"/>
        <v>-3</v>
      </c>
      <c r="I43" s="294">
        <f t="shared" si="18"/>
        <v>-3</v>
      </c>
      <c r="J43" s="294">
        <f t="shared" si="18"/>
        <v>-3</v>
      </c>
      <c r="K43" s="294">
        <f t="shared" si="18"/>
        <v>-3</v>
      </c>
      <c r="L43" s="294">
        <f t="shared" si="18"/>
        <v>-3</v>
      </c>
      <c r="M43" s="294">
        <f t="shared" si="18"/>
        <v>-3</v>
      </c>
      <c r="N43" s="294">
        <f t="shared" si="18"/>
        <v>-3</v>
      </c>
      <c r="O43" s="294">
        <f t="shared" si="18"/>
        <v>-3</v>
      </c>
      <c r="U43" s="296">
        <v>-3</v>
      </c>
      <c r="V43" s="296">
        <v>-3</v>
      </c>
      <c r="W43" s="296">
        <v>-3</v>
      </c>
      <c r="X43" s="296">
        <v>-3</v>
      </c>
      <c r="Y43" s="296">
        <v>-3</v>
      </c>
      <c r="Z43" s="296">
        <v>-3</v>
      </c>
      <c r="AA43" s="296">
        <v>-3</v>
      </c>
      <c r="AB43" s="296">
        <v>-3</v>
      </c>
      <c r="AE43" s="296">
        <v>-3</v>
      </c>
      <c r="AF43" s="296">
        <v>-3</v>
      </c>
      <c r="AG43" s="296">
        <v>-3</v>
      </c>
      <c r="AH43" s="296">
        <v>-3</v>
      </c>
      <c r="AI43" s="296">
        <v>-3</v>
      </c>
      <c r="AJ43" s="296">
        <v>-3</v>
      </c>
      <c r="AK43" s="296">
        <v>-3</v>
      </c>
      <c r="AL43" s="296">
        <v>-3</v>
      </c>
    </row>
    <row r="44" spans="2:38" ht="15.75">
      <c r="B44" s="293" t="s">
        <v>407</v>
      </c>
      <c r="H44" s="294">
        <f t="shared" si="18"/>
        <v>-3</v>
      </c>
      <c r="I44" s="294">
        <f t="shared" si="18"/>
        <v>-3</v>
      </c>
      <c r="J44" s="294">
        <f t="shared" si="18"/>
        <v>-3</v>
      </c>
      <c r="K44" s="294">
        <f t="shared" si="18"/>
        <v>-3</v>
      </c>
      <c r="L44" s="294">
        <f t="shared" si="18"/>
        <v>-3</v>
      </c>
      <c r="M44" s="294">
        <f t="shared" si="18"/>
        <v>-3</v>
      </c>
      <c r="N44" s="294">
        <f t="shared" si="18"/>
        <v>-3</v>
      </c>
      <c r="O44" s="294">
        <f t="shared" si="18"/>
        <v>-3</v>
      </c>
      <c r="U44" s="296">
        <v>-3</v>
      </c>
      <c r="V44" s="296">
        <v>-3</v>
      </c>
      <c r="W44" s="296">
        <v>-3</v>
      </c>
      <c r="X44" s="296">
        <v>-3</v>
      </c>
      <c r="Y44" s="296">
        <v>-3</v>
      </c>
      <c r="Z44" s="296">
        <v>-3</v>
      </c>
      <c r="AA44" s="296">
        <v>-3</v>
      </c>
      <c r="AB44" s="296">
        <v>-3</v>
      </c>
      <c r="AE44" s="296">
        <v>-3</v>
      </c>
      <c r="AF44" s="296">
        <v>-3</v>
      </c>
      <c r="AG44" s="296">
        <v>-3</v>
      </c>
      <c r="AH44" s="296">
        <v>-3</v>
      </c>
      <c r="AI44" s="296">
        <v>-3</v>
      </c>
      <c r="AJ44" s="296">
        <v>-3</v>
      </c>
      <c r="AK44" s="296">
        <v>-3</v>
      </c>
      <c r="AL44" s="296">
        <v>-3</v>
      </c>
    </row>
    <row r="45" spans="2:38" ht="15.75">
      <c r="B45" s="293" t="s">
        <v>408</v>
      </c>
      <c r="H45" s="294">
        <f t="shared" si="18"/>
        <v>0</v>
      </c>
      <c r="I45" s="294">
        <f t="shared" si="18"/>
        <v>-3</v>
      </c>
      <c r="J45" s="294">
        <f t="shared" si="18"/>
        <v>-3</v>
      </c>
      <c r="K45" s="294">
        <f t="shared" si="18"/>
        <v>-3</v>
      </c>
      <c r="L45" s="294">
        <f t="shared" si="18"/>
        <v>-3</v>
      </c>
      <c r="M45" s="294">
        <f t="shared" si="18"/>
        <v>-3</v>
      </c>
      <c r="N45" s="294">
        <f t="shared" si="18"/>
        <v>-3</v>
      </c>
      <c r="O45" s="294">
        <f t="shared" si="18"/>
        <v>-3</v>
      </c>
      <c r="U45" s="296">
        <v>0</v>
      </c>
      <c r="V45" s="296">
        <v>-3</v>
      </c>
      <c r="W45" s="296">
        <v>-3</v>
      </c>
      <c r="X45" s="296">
        <v>-3</v>
      </c>
      <c r="Y45" s="296">
        <v>-3</v>
      </c>
      <c r="Z45" s="296">
        <v>-3</v>
      </c>
      <c r="AA45" s="296">
        <v>-3</v>
      </c>
      <c r="AB45" s="296">
        <v>-3</v>
      </c>
      <c r="AE45" s="296">
        <v>0</v>
      </c>
      <c r="AF45" s="296">
        <v>-3</v>
      </c>
      <c r="AG45" s="296">
        <v>-3</v>
      </c>
      <c r="AH45" s="296">
        <v>-3</v>
      </c>
      <c r="AI45" s="296">
        <v>-3</v>
      </c>
      <c r="AJ45" s="296">
        <v>-3</v>
      </c>
      <c r="AK45" s="296">
        <v>-3</v>
      </c>
      <c r="AL45" s="296">
        <v>-3</v>
      </c>
    </row>
    <row r="46" spans="2:38" ht="15.75">
      <c r="B46" s="293" t="s">
        <v>409</v>
      </c>
      <c r="H46" s="297">
        <f>SUM(H42:H45)</f>
        <v>-2</v>
      </c>
      <c r="I46" s="297">
        <f t="shared" ref="I46:O46" si="19">SUM(I42:I45)</f>
        <v>-5</v>
      </c>
      <c r="J46" s="297">
        <f t="shared" si="19"/>
        <v>-5</v>
      </c>
      <c r="K46" s="297">
        <f t="shared" si="19"/>
        <v>-5</v>
      </c>
      <c r="L46" s="297">
        <f t="shared" si="19"/>
        <v>-5</v>
      </c>
      <c r="M46" s="297">
        <f t="shared" si="19"/>
        <v>-5</v>
      </c>
      <c r="N46" s="297">
        <f t="shared" si="19"/>
        <v>-5</v>
      </c>
      <c r="O46" s="297">
        <f t="shared" si="19"/>
        <v>-5</v>
      </c>
      <c r="U46" s="297">
        <f>SUM(U42:U45)</f>
        <v>-1</v>
      </c>
      <c r="V46" s="297">
        <f t="shared" ref="V46:AB46" si="20">SUM(V42:V45)</f>
        <v>-4</v>
      </c>
      <c r="W46" s="297">
        <f t="shared" si="20"/>
        <v>-4</v>
      </c>
      <c r="X46" s="297">
        <f t="shared" si="20"/>
        <v>-5</v>
      </c>
      <c r="Y46" s="297">
        <f t="shared" si="20"/>
        <v>-5</v>
      </c>
      <c r="Z46" s="297">
        <f t="shared" si="20"/>
        <v>-5</v>
      </c>
      <c r="AA46" s="297">
        <f t="shared" si="20"/>
        <v>-5</v>
      </c>
      <c r="AB46" s="297">
        <f t="shared" si="20"/>
        <v>-5</v>
      </c>
      <c r="AE46" s="297">
        <f>SUM(AE42:AE45)</f>
        <v>-2</v>
      </c>
      <c r="AF46" s="297">
        <f t="shared" ref="AF46:AL46" si="21">SUM(AF42:AF45)</f>
        <v>-5</v>
      </c>
      <c r="AG46" s="297">
        <f t="shared" si="21"/>
        <v>-5</v>
      </c>
      <c r="AH46" s="297">
        <f t="shared" si="21"/>
        <v>-5</v>
      </c>
      <c r="AI46" s="297">
        <f t="shared" si="21"/>
        <v>-5</v>
      </c>
      <c r="AJ46" s="297">
        <f t="shared" si="21"/>
        <v>-5</v>
      </c>
      <c r="AK46" s="297">
        <f t="shared" si="21"/>
        <v>-5</v>
      </c>
      <c r="AL46" s="297">
        <f t="shared" si="21"/>
        <v>-5</v>
      </c>
    </row>
    <row r="47" spans="2:38" ht="15.75">
      <c r="B47" s="298"/>
      <c r="C47" s="298"/>
      <c r="D47" s="298"/>
      <c r="E47" s="280"/>
      <c r="F47" s="280"/>
      <c r="G47" s="280"/>
      <c r="H47" s="280"/>
      <c r="I47" s="280"/>
      <c r="J47" s="280"/>
      <c r="K47" s="280"/>
      <c r="L47" s="280"/>
      <c r="M47" s="280"/>
      <c r="N47" s="280"/>
      <c r="O47" s="280"/>
    </row>
    <row r="48" spans="2:38" ht="15.75">
      <c r="B48" s="298"/>
      <c r="C48" s="298"/>
      <c r="D48" s="298"/>
      <c r="E48" s="280"/>
      <c r="F48" s="280"/>
      <c r="G48" s="280"/>
      <c r="H48" s="280"/>
      <c r="I48" s="280"/>
      <c r="J48" s="280"/>
      <c r="K48" s="280"/>
      <c r="L48" s="280"/>
      <c r="M48" s="280"/>
      <c r="N48" s="280"/>
      <c r="O48" s="280"/>
    </row>
    <row r="49" spans="1:21" ht="15.75">
      <c r="B49" s="298"/>
      <c r="C49" s="298"/>
      <c r="D49" s="298"/>
      <c r="E49" s="280"/>
      <c r="F49" s="280"/>
      <c r="G49" s="280"/>
      <c r="H49" s="280"/>
      <c r="I49" s="280"/>
      <c r="J49" s="280"/>
      <c r="K49" s="280"/>
      <c r="L49" s="280"/>
      <c r="M49" s="280"/>
      <c r="N49" s="280"/>
      <c r="O49" s="280"/>
    </row>
    <row r="52" spans="1:21" ht="15.75">
      <c r="A52" s="273" t="s">
        <v>410</v>
      </c>
    </row>
    <row r="53" spans="1:21" ht="15.75">
      <c r="B53" s="275" t="str">
        <f>A52&amp;" "&amp;"Enrollment Projections"</f>
        <v>Knoxville Prep - Boys  Enrollment Projections</v>
      </c>
      <c r="C53" s="275"/>
      <c r="D53" s="275"/>
      <c r="E53" s="275"/>
      <c r="F53" s="275"/>
      <c r="G53" s="275"/>
      <c r="H53" s="275"/>
      <c r="I53" s="275"/>
      <c r="J53" s="275"/>
      <c r="K53" s="275"/>
      <c r="L53" s="275"/>
      <c r="M53" s="275"/>
      <c r="N53" s="275"/>
      <c r="O53" s="275"/>
    </row>
    <row r="54" spans="1:21" ht="16.5" thickBot="1">
      <c r="B54" s="276"/>
      <c r="C54" s="277" t="str">
        <f>INPUTS!C3</f>
        <v>FY18-19</v>
      </c>
      <c r="D54" s="277" t="str">
        <f>INPUTS!D3</f>
        <v>FY19-20</v>
      </c>
      <c r="E54" s="277" t="str">
        <f>INPUTS!E3</f>
        <v>FY20-21</v>
      </c>
      <c r="F54" s="277" t="str">
        <f>INPUTS!F3</f>
        <v>FY21-22</v>
      </c>
      <c r="G54" s="277" t="str">
        <f>INPUTS!G3</f>
        <v>FY22-23</v>
      </c>
      <c r="H54" s="277" t="str">
        <f>INPUTS!H3</f>
        <v>FY23-24</v>
      </c>
      <c r="I54" s="277" t="str">
        <f>INPUTS!I3</f>
        <v>FY24-25</v>
      </c>
      <c r="J54" s="277" t="str">
        <f>INPUTS!J3</f>
        <v>FY25-26</v>
      </c>
      <c r="K54" s="277" t="str">
        <f>INPUTS!K3</f>
        <v>FY26-27</v>
      </c>
      <c r="L54" s="277" t="str">
        <f>INPUTS!L3</f>
        <v>FY27-28</v>
      </c>
      <c r="M54" s="277" t="str">
        <f>INPUTS!M3</f>
        <v>FY28-29</v>
      </c>
      <c r="N54" s="277" t="str">
        <f>INPUTS!N3</f>
        <v>FY29-30</v>
      </c>
      <c r="O54" s="277" t="str">
        <f>INPUTS!O3</f>
        <v>FY30-31</v>
      </c>
    </row>
    <row r="55" spans="1:21" ht="15.75">
      <c r="B55" s="299" t="s">
        <v>411</v>
      </c>
      <c r="C55" s="279"/>
      <c r="D55" s="279"/>
      <c r="E55" s="280"/>
      <c r="F55" s="280"/>
      <c r="G55" s="280"/>
      <c r="H55" s="280"/>
      <c r="I55" s="280"/>
      <c r="J55" s="280"/>
      <c r="K55" s="280"/>
      <c r="L55" s="280"/>
      <c r="M55" s="280"/>
      <c r="N55" s="280"/>
      <c r="O55" s="280"/>
    </row>
    <row r="56" spans="1:21" ht="15.75">
      <c r="B56" s="281">
        <v>6</v>
      </c>
      <c r="C56" s="282">
        <v>0</v>
      </c>
      <c r="D56" s="282">
        <v>0</v>
      </c>
      <c r="E56" s="282">
        <v>0</v>
      </c>
      <c r="F56" s="282">
        <v>0</v>
      </c>
      <c r="G56" s="282">
        <v>0</v>
      </c>
      <c r="H56" s="282">
        <v>0</v>
      </c>
      <c r="I56" s="282">
        <v>105</v>
      </c>
      <c r="J56" s="282">
        <f>I56+J68</f>
        <v>105</v>
      </c>
      <c r="K56" s="282">
        <f t="shared" ref="K56:O56" si="22">J56+K68</f>
        <v>105</v>
      </c>
      <c r="L56" s="282">
        <f t="shared" si="22"/>
        <v>105</v>
      </c>
      <c r="M56" s="282">
        <f t="shared" si="22"/>
        <v>105</v>
      </c>
      <c r="N56" s="282">
        <f t="shared" si="22"/>
        <v>105</v>
      </c>
      <c r="O56" s="282">
        <f t="shared" si="22"/>
        <v>105</v>
      </c>
      <c r="R56" t="s">
        <v>412</v>
      </c>
      <c r="U56">
        <v>104</v>
      </c>
    </row>
    <row r="57" spans="1:21" ht="15.75">
      <c r="B57" s="281">
        <v>7</v>
      </c>
      <c r="C57" s="282">
        <v>0</v>
      </c>
      <c r="D57" s="282">
        <v>0</v>
      </c>
      <c r="E57" s="282">
        <v>0</v>
      </c>
      <c r="F57" s="282">
        <v>0</v>
      </c>
      <c r="G57" s="282">
        <v>0</v>
      </c>
      <c r="H57" s="282">
        <v>0</v>
      </c>
      <c r="I57" s="282">
        <v>0</v>
      </c>
      <c r="J57" s="282">
        <f>I56+J69</f>
        <v>102</v>
      </c>
      <c r="K57" s="282">
        <f t="shared" ref="K57:O58" si="23">J56+K69</f>
        <v>102</v>
      </c>
      <c r="L57" s="282">
        <f t="shared" si="23"/>
        <v>102</v>
      </c>
      <c r="M57" s="282">
        <f t="shared" si="23"/>
        <v>102</v>
      </c>
      <c r="N57" s="282">
        <f t="shared" si="23"/>
        <v>102</v>
      </c>
      <c r="O57" s="282">
        <f t="shared" si="23"/>
        <v>102</v>
      </c>
      <c r="U57">
        <f>U56-4</f>
        <v>100</v>
      </c>
    </row>
    <row r="58" spans="1:21" ht="15.75">
      <c r="B58" s="281">
        <v>8</v>
      </c>
      <c r="C58" s="282">
        <v>0</v>
      </c>
      <c r="D58" s="282">
        <v>0</v>
      </c>
      <c r="E58" s="282">
        <v>0</v>
      </c>
      <c r="F58" s="282">
        <v>0</v>
      </c>
      <c r="G58" s="282">
        <v>0</v>
      </c>
      <c r="H58" s="282">
        <v>0</v>
      </c>
      <c r="I58" s="282">
        <v>0</v>
      </c>
      <c r="J58" s="282">
        <v>0</v>
      </c>
      <c r="K58" s="282">
        <f t="shared" si="23"/>
        <v>99</v>
      </c>
      <c r="L58" s="282">
        <f t="shared" si="23"/>
        <v>99</v>
      </c>
      <c r="M58" s="282">
        <f t="shared" si="23"/>
        <v>99</v>
      </c>
      <c r="N58" s="282">
        <f t="shared" si="23"/>
        <v>99</v>
      </c>
      <c r="O58" s="282">
        <f t="shared" si="23"/>
        <v>99</v>
      </c>
      <c r="U58">
        <f>U57-4</f>
        <v>96</v>
      </c>
    </row>
    <row r="59" spans="1:21" ht="15.75">
      <c r="B59" s="281">
        <v>9</v>
      </c>
      <c r="C59" s="282">
        <v>0</v>
      </c>
      <c r="D59" s="282">
        <v>0</v>
      </c>
      <c r="E59" s="282">
        <v>0</v>
      </c>
      <c r="F59" s="282">
        <v>0</v>
      </c>
      <c r="G59" s="282">
        <v>0</v>
      </c>
      <c r="H59" s="282">
        <v>0</v>
      </c>
      <c r="I59" s="282">
        <v>0</v>
      </c>
      <c r="J59" s="282">
        <v>0</v>
      </c>
      <c r="K59" s="282">
        <v>0</v>
      </c>
      <c r="L59" s="282">
        <f>K58+L73</f>
        <v>103</v>
      </c>
      <c r="M59" s="282">
        <f>L58+M73</f>
        <v>103</v>
      </c>
      <c r="N59" s="282">
        <f t="shared" ref="N59:O62" si="24">M58+N73</f>
        <v>103</v>
      </c>
      <c r="O59" s="282">
        <f t="shared" si="24"/>
        <v>103</v>
      </c>
      <c r="U59">
        <v>102</v>
      </c>
    </row>
    <row r="60" spans="1:21" ht="15.75">
      <c r="B60" s="281">
        <v>10</v>
      </c>
      <c r="C60" s="282">
        <v>0</v>
      </c>
      <c r="D60" s="282">
        <v>0</v>
      </c>
      <c r="E60" s="282">
        <v>0</v>
      </c>
      <c r="F60" s="282">
        <v>0</v>
      </c>
      <c r="G60" s="282">
        <v>0</v>
      </c>
      <c r="H60" s="282">
        <v>0</v>
      </c>
      <c r="I60" s="282">
        <v>0</v>
      </c>
      <c r="J60" s="282">
        <v>0</v>
      </c>
      <c r="K60" s="282">
        <v>0</v>
      </c>
      <c r="L60" s="282">
        <v>0</v>
      </c>
      <c r="M60" s="282">
        <f>L59+M74</f>
        <v>100</v>
      </c>
      <c r="N60" s="282">
        <f t="shared" si="24"/>
        <v>100</v>
      </c>
      <c r="O60" s="282">
        <f t="shared" si="24"/>
        <v>100</v>
      </c>
      <c r="U60">
        <f>U56</f>
        <v>104</v>
      </c>
    </row>
    <row r="61" spans="1:21" ht="15.75">
      <c r="B61" s="281">
        <v>11</v>
      </c>
      <c r="C61" s="282">
        <v>0</v>
      </c>
      <c r="D61" s="282">
        <v>0</v>
      </c>
      <c r="E61" s="282">
        <v>0</v>
      </c>
      <c r="F61" s="282">
        <v>0</v>
      </c>
      <c r="G61" s="282">
        <v>0</v>
      </c>
      <c r="H61" s="282">
        <v>0</v>
      </c>
      <c r="I61" s="282">
        <v>0</v>
      </c>
      <c r="J61" s="282">
        <v>0</v>
      </c>
      <c r="K61" s="282">
        <v>0</v>
      </c>
      <c r="L61" s="282">
        <v>0</v>
      </c>
      <c r="M61" s="282">
        <v>0</v>
      </c>
      <c r="N61" s="282">
        <f t="shared" si="24"/>
        <v>97</v>
      </c>
      <c r="O61" s="282">
        <f t="shared" si="24"/>
        <v>97</v>
      </c>
      <c r="U61">
        <f>U60-4</f>
        <v>100</v>
      </c>
    </row>
    <row r="62" spans="1:21" ht="15.75">
      <c r="B62" s="281">
        <v>12</v>
      </c>
      <c r="C62" s="282">
        <v>0</v>
      </c>
      <c r="D62" s="282">
        <v>0</v>
      </c>
      <c r="E62" s="282">
        <v>0</v>
      </c>
      <c r="F62" s="282">
        <v>0</v>
      </c>
      <c r="G62" s="282">
        <v>0</v>
      </c>
      <c r="H62" s="282">
        <v>0</v>
      </c>
      <c r="I62" s="282">
        <v>0</v>
      </c>
      <c r="J62" s="282">
        <v>0</v>
      </c>
      <c r="K62" s="282">
        <v>0</v>
      </c>
      <c r="L62" s="282">
        <v>0</v>
      </c>
      <c r="M62" s="282">
        <v>0</v>
      </c>
      <c r="N62" s="282">
        <v>0</v>
      </c>
      <c r="O62" s="282">
        <f t="shared" si="24"/>
        <v>94</v>
      </c>
      <c r="U62">
        <f t="shared" ref="U62" si="25">U61-2</f>
        <v>98</v>
      </c>
    </row>
    <row r="63" spans="1:21" ht="15.75">
      <c r="B63" s="283" t="s">
        <v>384</v>
      </c>
      <c r="C63" s="284">
        <f>SUM(C56:C62)</f>
        <v>0</v>
      </c>
      <c r="D63" s="284">
        <f t="shared" ref="D63:O63" si="26">SUM(D56:D62)</f>
        <v>0</v>
      </c>
      <c r="E63" s="284">
        <f t="shared" si="26"/>
        <v>0</v>
      </c>
      <c r="F63" s="284">
        <f t="shared" si="26"/>
        <v>0</v>
      </c>
      <c r="G63" s="284">
        <f t="shared" si="26"/>
        <v>0</v>
      </c>
      <c r="H63" s="284">
        <f t="shared" si="26"/>
        <v>0</v>
      </c>
      <c r="I63" s="284">
        <f t="shared" si="26"/>
        <v>105</v>
      </c>
      <c r="J63" s="284">
        <f t="shared" si="26"/>
        <v>207</v>
      </c>
      <c r="K63" s="284">
        <f t="shared" si="26"/>
        <v>306</v>
      </c>
      <c r="L63" s="284">
        <f t="shared" si="26"/>
        <v>409</v>
      </c>
      <c r="M63" s="284">
        <f t="shared" si="26"/>
        <v>509</v>
      </c>
      <c r="N63" s="284">
        <f t="shared" si="26"/>
        <v>606</v>
      </c>
      <c r="O63" s="284">
        <f t="shared" si="26"/>
        <v>700</v>
      </c>
    </row>
    <row r="64" spans="1:21" ht="15.75">
      <c r="B64" s="285" t="s">
        <v>385</v>
      </c>
      <c r="C64" s="286">
        <f t="shared" ref="C64:O64" si="27">SUM(C56:C58)</f>
        <v>0</v>
      </c>
      <c r="D64" s="286">
        <f t="shared" si="27"/>
        <v>0</v>
      </c>
      <c r="E64" s="286">
        <f t="shared" si="27"/>
        <v>0</v>
      </c>
      <c r="F64" s="286">
        <f t="shared" si="27"/>
        <v>0</v>
      </c>
      <c r="G64" s="286">
        <f t="shared" si="27"/>
        <v>0</v>
      </c>
      <c r="H64" s="286">
        <f t="shared" si="27"/>
        <v>0</v>
      </c>
      <c r="I64" s="286">
        <f t="shared" si="27"/>
        <v>105</v>
      </c>
      <c r="J64" s="286">
        <f t="shared" si="27"/>
        <v>207</v>
      </c>
      <c r="K64" s="286">
        <f t="shared" si="27"/>
        <v>306</v>
      </c>
      <c r="L64" s="286">
        <f t="shared" si="27"/>
        <v>306</v>
      </c>
      <c r="M64" s="286">
        <f t="shared" si="27"/>
        <v>306</v>
      </c>
      <c r="N64" s="286">
        <f t="shared" si="27"/>
        <v>306</v>
      </c>
      <c r="O64" s="286">
        <f t="shared" si="27"/>
        <v>306</v>
      </c>
    </row>
    <row r="65" spans="1:15" ht="16.5" thickBot="1">
      <c r="B65" s="287" t="s">
        <v>386</v>
      </c>
      <c r="C65" s="288">
        <f t="shared" ref="C65:O65" si="28">SUM(C59:C62)</f>
        <v>0</v>
      </c>
      <c r="D65" s="288">
        <f t="shared" si="28"/>
        <v>0</v>
      </c>
      <c r="E65" s="288">
        <f t="shared" si="28"/>
        <v>0</v>
      </c>
      <c r="F65" s="288">
        <f t="shared" si="28"/>
        <v>0</v>
      </c>
      <c r="G65" s="288">
        <f t="shared" si="28"/>
        <v>0</v>
      </c>
      <c r="H65" s="288">
        <f t="shared" si="28"/>
        <v>0</v>
      </c>
      <c r="I65" s="288">
        <f t="shared" si="28"/>
        <v>0</v>
      </c>
      <c r="J65" s="288">
        <f t="shared" si="28"/>
        <v>0</v>
      </c>
      <c r="K65" s="288">
        <f t="shared" si="28"/>
        <v>0</v>
      </c>
      <c r="L65" s="288">
        <f t="shared" si="28"/>
        <v>103</v>
      </c>
      <c r="M65" s="288">
        <f t="shared" si="28"/>
        <v>203</v>
      </c>
      <c r="N65" s="288">
        <f t="shared" si="28"/>
        <v>300</v>
      </c>
      <c r="O65" s="288">
        <f t="shared" si="28"/>
        <v>394</v>
      </c>
    </row>
    <row r="67" spans="1:15" ht="15.75">
      <c r="B67" s="292" t="s">
        <v>396</v>
      </c>
    </row>
    <row r="68" spans="1:15" ht="15.75">
      <c r="B68" s="293" t="s">
        <v>413</v>
      </c>
      <c r="J68" s="296">
        <v>0</v>
      </c>
      <c r="K68" s="296">
        <v>0</v>
      </c>
      <c r="L68" s="296">
        <v>0</v>
      </c>
      <c r="M68" s="296">
        <v>0</v>
      </c>
      <c r="N68" s="296">
        <v>0</v>
      </c>
      <c r="O68" s="296">
        <v>0</v>
      </c>
    </row>
    <row r="69" spans="1:15" ht="15.75">
      <c r="B69" s="293" t="s">
        <v>401</v>
      </c>
      <c r="J69" s="296">
        <v>-3</v>
      </c>
      <c r="K69" s="296">
        <v>-3</v>
      </c>
      <c r="L69" s="296">
        <v>-3</v>
      </c>
      <c r="M69" s="296">
        <v>-3</v>
      </c>
      <c r="N69" s="296">
        <v>-3</v>
      </c>
      <c r="O69" s="296">
        <v>-3</v>
      </c>
    </row>
    <row r="70" spans="1:15" ht="15.75">
      <c r="B70" s="293" t="s">
        <v>402</v>
      </c>
      <c r="J70" s="296">
        <v>0</v>
      </c>
      <c r="K70" s="296">
        <v>-3</v>
      </c>
      <c r="L70" s="296">
        <v>-3</v>
      </c>
      <c r="M70" s="296">
        <v>-3</v>
      </c>
      <c r="N70" s="296">
        <v>-3</v>
      </c>
      <c r="O70" s="296">
        <v>-3</v>
      </c>
    </row>
    <row r="71" spans="1:15" ht="15.75">
      <c r="B71" s="293" t="s">
        <v>403</v>
      </c>
      <c r="J71" s="297">
        <f>SUM(J67:J70)</f>
        <v>-3</v>
      </c>
      <c r="K71" s="297">
        <f>SUM(K67:K70)</f>
        <v>-6</v>
      </c>
      <c r="L71" s="297">
        <f>SUM(L67:L70)</f>
        <v>-6</v>
      </c>
      <c r="M71" s="297">
        <f>SUM(M67:M70)</f>
        <v>-6</v>
      </c>
      <c r="N71" s="297">
        <f>SUM(N67:N70)</f>
        <v>-6</v>
      </c>
      <c r="O71" s="297">
        <f t="shared" ref="O71" si="29">SUM(O67:O70)</f>
        <v>-6</v>
      </c>
    </row>
    <row r="72" spans="1:15" ht="15.75">
      <c r="B72" s="292"/>
    </row>
    <row r="73" spans="1:15" ht="15.75">
      <c r="B73" s="293" t="s">
        <v>414</v>
      </c>
      <c r="L73" s="296">
        <v>4</v>
      </c>
      <c r="M73" s="296">
        <v>4</v>
      </c>
      <c r="N73" s="296">
        <v>4</v>
      </c>
      <c r="O73" s="296">
        <v>4</v>
      </c>
    </row>
    <row r="74" spans="1:15" ht="15.75">
      <c r="B74" s="293" t="s">
        <v>406</v>
      </c>
      <c r="L74" s="296">
        <v>0</v>
      </c>
      <c r="M74" s="296">
        <v>-3</v>
      </c>
      <c r="N74" s="296">
        <v>-3</v>
      </c>
      <c r="O74" s="296">
        <v>-3</v>
      </c>
    </row>
    <row r="75" spans="1:15" ht="15.75">
      <c r="B75" s="293" t="s">
        <v>407</v>
      </c>
      <c r="L75" s="296">
        <v>0</v>
      </c>
      <c r="M75" s="296">
        <v>0</v>
      </c>
      <c r="N75" s="296">
        <v>-3</v>
      </c>
      <c r="O75" s="296">
        <v>-3</v>
      </c>
    </row>
    <row r="76" spans="1:15" ht="15.75">
      <c r="B76" s="293" t="s">
        <v>408</v>
      </c>
      <c r="L76" s="296">
        <v>0</v>
      </c>
      <c r="M76" s="296">
        <v>0</v>
      </c>
      <c r="N76" s="296">
        <v>0</v>
      </c>
      <c r="O76" s="296">
        <v>-3</v>
      </c>
    </row>
    <row r="77" spans="1:15" ht="15.75">
      <c r="B77" s="293" t="s">
        <v>409</v>
      </c>
      <c r="H77" s="300"/>
      <c r="I77" s="300"/>
      <c r="L77" s="297">
        <f t="shared" ref="L77:O77" si="30">SUM(L73:L76)</f>
        <v>4</v>
      </c>
      <c r="M77" s="297">
        <f t="shared" si="30"/>
        <v>1</v>
      </c>
      <c r="N77" s="297">
        <f t="shared" si="30"/>
        <v>-2</v>
      </c>
      <c r="O77" s="297">
        <f t="shared" si="30"/>
        <v>-5</v>
      </c>
    </row>
    <row r="79" spans="1:15" ht="15.75" collapsed="1">
      <c r="A79" s="273" t="s">
        <v>415</v>
      </c>
    </row>
    <row r="80" spans="1:15" ht="15.75">
      <c r="B80" s="275" t="str">
        <f>A79&amp;" "&amp;"Enrollment Projections"</f>
        <v>Knox Prep - Girls  Enrollment Projections</v>
      </c>
      <c r="C80" s="275"/>
      <c r="D80" s="275"/>
      <c r="E80" s="275"/>
      <c r="F80" s="275"/>
      <c r="G80" s="275"/>
      <c r="H80" s="275"/>
      <c r="I80" s="275"/>
      <c r="J80" s="275"/>
      <c r="K80" s="275"/>
      <c r="L80" s="275"/>
      <c r="M80" s="275"/>
      <c r="N80" s="275"/>
      <c r="O80" s="275"/>
    </row>
    <row r="81" spans="2:15" ht="16.5" thickBot="1">
      <c r="B81" s="276"/>
      <c r="C81" s="277" t="str">
        <f>INPUTS!C3</f>
        <v>FY18-19</v>
      </c>
      <c r="D81" s="277" t="str">
        <f>INPUTS!D3</f>
        <v>FY19-20</v>
      </c>
      <c r="E81" s="277" t="str">
        <f>INPUTS!E3</f>
        <v>FY20-21</v>
      </c>
      <c r="F81" s="277" t="str">
        <f>INPUTS!F3</f>
        <v>FY21-22</v>
      </c>
      <c r="G81" s="277" t="str">
        <f>INPUTS!G3</f>
        <v>FY22-23</v>
      </c>
      <c r="H81" s="277" t="str">
        <f>INPUTS!H3</f>
        <v>FY23-24</v>
      </c>
      <c r="I81" s="277" t="str">
        <f>INPUTS!I3</f>
        <v>FY24-25</v>
      </c>
      <c r="J81" s="277" t="str">
        <f>INPUTS!J3</f>
        <v>FY25-26</v>
      </c>
      <c r="K81" s="277" t="str">
        <f>INPUTS!K3</f>
        <v>FY26-27</v>
      </c>
      <c r="L81" s="277" t="str">
        <f>INPUTS!L3</f>
        <v>FY27-28</v>
      </c>
      <c r="M81" s="277" t="str">
        <f>INPUTS!M3</f>
        <v>FY28-29</v>
      </c>
      <c r="N81" s="277" t="str">
        <f>INPUTS!N3</f>
        <v>FY29-30</v>
      </c>
      <c r="O81" s="277" t="str">
        <f>INPUTS!O3</f>
        <v>FY30-31</v>
      </c>
    </row>
    <row r="82" spans="2:15" ht="16.5" thickBot="1">
      <c r="B82" s="278" t="s">
        <v>416</v>
      </c>
      <c r="C82" s="279"/>
      <c r="D82" s="279"/>
      <c r="E82" s="280"/>
      <c r="F82" s="280"/>
      <c r="G82" s="280"/>
      <c r="H82" s="280"/>
      <c r="I82" s="280"/>
      <c r="J82" s="280"/>
      <c r="K82" s="280"/>
      <c r="L82" s="280"/>
      <c r="M82" s="280"/>
      <c r="N82" s="280"/>
      <c r="O82" s="280"/>
    </row>
    <row r="83" spans="2:15" ht="15.75">
      <c r="B83" s="281">
        <v>6</v>
      </c>
      <c r="C83" s="282">
        <v>0</v>
      </c>
      <c r="D83" s="282">
        <v>0</v>
      </c>
      <c r="E83" s="282">
        <v>0</v>
      </c>
      <c r="F83" s="282">
        <v>0</v>
      </c>
      <c r="G83" s="282">
        <v>0</v>
      </c>
      <c r="H83" s="282">
        <v>0</v>
      </c>
      <c r="I83" s="282">
        <v>0</v>
      </c>
      <c r="J83" s="282">
        <v>0</v>
      </c>
      <c r="K83" s="282">
        <v>0</v>
      </c>
      <c r="L83" s="282">
        <v>105</v>
      </c>
      <c r="M83" s="282">
        <f>L83+M95</f>
        <v>105</v>
      </c>
      <c r="N83" s="282">
        <f t="shared" ref="N83:O83" si="31">M83+N95</f>
        <v>105</v>
      </c>
      <c r="O83" s="282">
        <f t="shared" si="31"/>
        <v>105</v>
      </c>
    </row>
    <row r="84" spans="2:15" ht="15.75">
      <c r="B84" s="281">
        <v>7</v>
      </c>
      <c r="C84" s="282">
        <v>0</v>
      </c>
      <c r="D84" s="282">
        <v>0</v>
      </c>
      <c r="E84" s="282">
        <v>0</v>
      </c>
      <c r="F84" s="282">
        <v>0</v>
      </c>
      <c r="G84" s="282">
        <v>0</v>
      </c>
      <c r="H84" s="282">
        <v>0</v>
      </c>
      <c r="I84" s="282">
        <v>0</v>
      </c>
      <c r="J84" s="282">
        <v>0</v>
      </c>
      <c r="K84" s="282">
        <v>0</v>
      </c>
      <c r="L84" s="282">
        <v>0</v>
      </c>
      <c r="M84" s="282">
        <f>L83+M96</f>
        <v>102</v>
      </c>
      <c r="N84" s="282">
        <f t="shared" ref="N84:O85" si="32">M83+N96</f>
        <v>102</v>
      </c>
      <c r="O84" s="282">
        <f t="shared" si="32"/>
        <v>102</v>
      </c>
    </row>
    <row r="85" spans="2:15" ht="15.75">
      <c r="B85" s="281">
        <v>8</v>
      </c>
      <c r="C85" s="282">
        <v>0</v>
      </c>
      <c r="D85" s="282">
        <v>0</v>
      </c>
      <c r="E85" s="282">
        <v>0</v>
      </c>
      <c r="F85" s="282">
        <v>0</v>
      </c>
      <c r="G85" s="282">
        <v>0</v>
      </c>
      <c r="H85" s="282">
        <v>0</v>
      </c>
      <c r="I85" s="282">
        <v>0</v>
      </c>
      <c r="J85" s="282">
        <v>0</v>
      </c>
      <c r="K85" s="282">
        <v>0</v>
      </c>
      <c r="L85" s="282">
        <v>0</v>
      </c>
      <c r="M85" s="282"/>
      <c r="N85" s="282">
        <f t="shared" si="32"/>
        <v>99</v>
      </c>
      <c r="O85" s="282">
        <f t="shared" si="32"/>
        <v>99</v>
      </c>
    </row>
    <row r="86" spans="2:15" ht="15.75">
      <c r="B86" s="281">
        <v>9</v>
      </c>
      <c r="C86" s="282">
        <v>0</v>
      </c>
      <c r="D86" s="282">
        <v>0</v>
      </c>
      <c r="E86" s="282">
        <v>0</v>
      </c>
      <c r="F86" s="282">
        <v>0</v>
      </c>
      <c r="G86" s="282">
        <v>0</v>
      </c>
      <c r="H86" s="282">
        <v>0</v>
      </c>
      <c r="I86" s="282">
        <v>0</v>
      </c>
      <c r="J86" s="282">
        <v>0</v>
      </c>
      <c r="K86" s="282">
        <v>0</v>
      </c>
      <c r="L86" s="282">
        <v>0</v>
      </c>
      <c r="M86" s="282">
        <v>0</v>
      </c>
      <c r="N86" s="282">
        <v>0</v>
      </c>
      <c r="O86" s="282">
        <f>N85+O100</f>
        <v>103</v>
      </c>
    </row>
    <row r="87" spans="2:15" ht="15.75">
      <c r="B87" s="281">
        <v>10</v>
      </c>
      <c r="C87" s="282">
        <v>0</v>
      </c>
      <c r="D87" s="282">
        <v>0</v>
      </c>
      <c r="E87" s="282">
        <v>0</v>
      </c>
      <c r="F87" s="282">
        <v>0</v>
      </c>
      <c r="G87" s="282">
        <v>0</v>
      </c>
      <c r="H87" s="282">
        <v>0</v>
      </c>
      <c r="I87" s="282">
        <v>0</v>
      </c>
      <c r="J87" s="282">
        <v>0</v>
      </c>
      <c r="K87" s="282">
        <v>0</v>
      </c>
      <c r="L87" s="282">
        <v>0</v>
      </c>
      <c r="M87" s="282">
        <v>0</v>
      </c>
      <c r="N87" s="282">
        <v>0</v>
      </c>
      <c r="O87" s="282">
        <v>0</v>
      </c>
    </row>
    <row r="88" spans="2:15" ht="15.75">
      <c r="B88" s="281">
        <v>11</v>
      </c>
      <c r="C88" s="282">
        <v>0</v>
      </c>
      <c r="D88" s="282">
        <v>0</v>
      </c>
      <c r="E88" s="282">
        <v>0</v>
      </c>
      <c r="F88" s="282">
        <v>0</v>
      </c>
      <c r="G88" s="282">
        <v>0</v>
      </c>
      <c r="H88" s="282">
        <v>0</v>
      </c>
      <c r="I88" s="282">
        <v>0</v>
      </c>
      <c r="J88" s="282">
        <v>0</v>
      </c>
      <c r="K88" s="282">
        <v>0</v>
      </c>
      <c r="L88" s="282">
        <v>0</v>
      </c>
      <c r="M88" s="282">
        <v>0</v>
      </c>
      <c r="N88" s="282">
        <v>0</v>
      </c>
      <c r="O88" s="282">
        <v>0</v>
      </c>
    </row>
    <row r="89" spans="2:15" ht="15.75">
      <c r="B89" s="281">
        <v>12</v>
      </c>
      <c r="C89" s="282">
        <v>0</v>
      </c>
      <c r="D89" s="282">
        <v>0</v>
      </c>
      <c r="E89" s="282">
        <v>0</v>
      </c>
      <c r="F89" s="282">
        <v>0</v>
      </c>
      <c r="G89" s="282">
        <v>0</v>
      </c>
      <c r="H89" s="282">
        <v>0</v>
      </c>
      <c r="I89" s="282">
        <v>0</v>
      </c>
      <c r="J89" s="282">
        <v>0</v>
      </c>
      <c r="K89" s="282">
        <v>0</v>
      </c>
      <c r="L89" s="282">
        <v>0</v>
      </c>
      <c r="M89" s="282">
        <v>0</v>
      </c>
      <c r="N89" s="282">
        <v>0</v>
      </c>
      <c r="O89" s="282">
        <v>0</v>
      </c>
    </row>
    <row r="90" spans="2:15" ht="15.75">
      <c r="B90" s="283" t="s">
        <v>384</v>
      </c>
      <c r="C90" s="284">
        <f>SUM(C83:C89)</f>
        <v>0</v>
      </c>
      <c r="D90" s="284">
        <f t="shared" ref="D90:O90" si="33">SUM(D83:D89)</f>
        <v>0</v>
      </c>
      <c r="E90" s="284">
        <f t="shared" si="33"/>
        <v>0</v>
      </c>
      <c r="F90" s="284">
        <f t="shared" si="33"/>
        <v>0</v>
      </c>
      <c r="G90" s="284">
        <f t="shared" si="33"/>
        <v>0</v>
      </c>
      <c r="H90" s="284">
        <f t="shared" si="33"/>
        <v>0</v>
      </c>
      <c r="I90" s="284">
        <f t="shared" si="33"/>
        <v>0</v>
      </c>
      <c r="J90" s="284">
        <f t="shared" si="33"/>
        <v>0</v>
      </c>
      <c r="K90" s="284">
        <f t="shared" si="33"/>
        <v>0</v>
      </c>
      <c r="L90" s="284">
        <f t="shared" si="33"/>
        <v>105</v>
      </c>
      <c r="M90" s="284">
        <f t="shared" si="33"/>
        <v>207</v>
      </c>
      <c r="N90" s="284">
        <f t="shared" si="33"/>
        <v>306</v>
      </c>
      <c r="O90" s="284">
        <f t="shared" si="33"/>
        <v>409</v>
      </c>
    </row>
    <row r="91" spans="2:15" ht="15.75">
      <c r="B91" s="285" t="s">
        <v>385</v>
      </c>
      <c r="C91" s="286">
        <f t="shared" ref="C91:O91" si="34">SUM(C83:C85)</f>
        <v>0</v>
      </c>
      <c r="D91" s="286">
        <f t="shared" si="34"/>
        <v>0</v>
      </c>
      <c r="E91" s="286">
        <f t="shared" si="34"/>
        <v>0</v>
      </c>
      <c r="F91" s="286">
        <f t="shared" si="34"/>
        <v>0</v>
      </c>
      <c r="G91" s="286">
        <f t="shared" si="34"/>
        <v>0</v>
      </c>
      <c r="H91" s="286">
        <f t="shared" si="34"/>
        <v>0</v>
      </c>
      <c r="I91" s="286">
        <f t="shared" si="34"/>
        <v>0</v>
      </c>
      <c r="J91" s="286">
        <f t="shared" si="34"/>
        <v>0</v>
      </c>
      <c r="K91" s="286">
        <f t="shared" si="34"/>
        <v>0</v>
      </c>
      <c r="L91" s="286">
        <f t="shared" si="34"/>
        <v>105</v>
      </c>
      <c r="M91" s="286">
        <f t="shared" si="34"/>
        <v>207</v>
      </c>
      <c r="N91" s="286">
        <f t="shared" si="34"/>
        <v>306</v>
      </c>
      <c r="O91" s="286">
        <f t="shared" si="34"/>
        <v>306</v>
      </c>
    </row>
    <row r="92" spans="2:15" ht="16.5" thickBot="1">
      <c r="B92" s="287" t="s">
        <v>386</v>
      </c>
      <c r="C92" s="288">
        <f t="shared" ref="C92:O92" si="35">SUM(C86:C89)</f>
        <v>0</v>
      </c>
      <c r="D92" s="288">
        <f t="shared" si="35"/>
        <v>0</v>
      </c>
      <c r="E92" s="288">
        <f t="shared" si="35"/>
        <v>0</v>
      </c>
      <c r="F92" s="288">
        <f t="shared" si="35"/>
        <v>0</v>
      </c>
      <c r="G92" s="288">
        <f t="shared" si="35"/>
        <v>0</v>
      </c>
      <c r="H92" s="288">
        <f t="shared" si="35"/>
        <v>0</v>
      </c>
      <c r="I92" s="288">
        <f t="shared" si="35"/>
        <v>0</v>
      </c>
      <c r="J92" s="288">
        <f t="shared" si="35"/>
        <v>0</v>
      </c>
      <c r="K92" s="288">
        <f t="shared" si="35"/>
        <v>0</v>
      </c>
      <c r="L92" s="288">
        <f t="shared" si="35"/>
        <v>0</v>
      </c>
      <c r="M92" s="288">
        <f t="shared" si="35"/>
        <v>0</v>
      </c>
      <c r="N92" s="288">
        <f t="shared" si="35"/>
        <v>0</v>
      </c>
      <c r="O92" s="288">
        <f t="shared" si="35"/>
        <v>103</v>
      </c>
    </row>
    <row r="94" spans="2:15" ht="15.75">
      <c r="B94" s="292" t="s">
        <v>396</v>
      </c>
    </row>
    <row r="95" spans="2:15" ht="15.75">
      <c r="B95" s="293" t="s">
        <v>413</v>
      </c>
      <c r="H95" s="301"/>
      <c r="I95" s="301"/>
      <c r="J95" s="301"/>
      <c r="K95" s="301"/>
      <c r="L95" s="301"/>
      <c r="M95" s="296">
        <v>0</v>
      </c>
      <c r="N95" s="296">
        <v>0</v>
      </c>
      <c r="O95" s="296">
        <v>0</v>
      </c>
    </row>
    <row r="96" spans="2:15" ht="15.75">
      <c r="B96" s="293" t="s">
        <v>401</v>
      </c>
      <c r="H96" s="301"/>
      <c r="I96" s="301"/>
      <c r="J96" s="301"/>
      <c r="K96" s="301"/>
      <c r="L96" s="301"/>
      <c r="M96" s="296">
        <v>-3</v>
      </c>
      <c r="N96" s="296">
        <v>-3</v>
      </c>
      <c r="O96" s="296">
        <v>-3</v>
      </c>
    </row>
    <row r="97" spans="1:15" ht="15.75">
      <c r="B97" s="293" t="s">
        <v>402</v>
      </c>
      <c r="H97" s="301"/>
      <c r="I97" s="301"/>
      <c r="J97" s="301"/>
      <c r="K97" s="301"/>
      <c r="L97" s="301"/>
      <c r="M97" s="296">
        <v>0</v>
      </c>
      <c r="N97" s="296">
        <v>-3</v>
      </c>
      <c r="O97" s="296">
        <v>-3</v>
      </c>
    </row>
    <row r="98" spans="1:15" ht="15.75">
      <c r="B98" s="293" t="s">
        <v>403</v>
      </c>
      <c r="H98" s="300"/>
      <c r="I98" s="300"/>
      <c r="J98" s="300"/>
      <c r="K98" s="300"/>
      <c r="L98" s="300"/>
      <c r="M98" s="297">
        <f>SUM(M94:M97)</f>
        <v>-3</v>
      </c>
      <c r="N98" s="297">
        <f>SUM(N94:N97)</f>
        <v>-6</v>
      </c>
      <c r="O98" s="297">
        <f t="shared" ref="O98" si="36">SUM(O94:O97)</f>
        <v>-6</v>
      </c>
    </row>
    <row r="99" spans="1:15" ht="15.75">
      <c r="B99" s="292"/>
    </row>
    <row r="100" spans="1:15" ht="15.75">
      <c r="B100" s="293" t="s">
        <v>414</v>
      </c>
      <c r="H100" s="301"/>
      <c r="I100" s="301"/>
      <c r="J100" s="301"/>
      <c r="K100" s="301"/>
      <c r="L100" s="301"/>
      <c r="M100" s="296">
        <v>0</v>
      </c>
      <c r="N100" s="296">
        <v>0</v>
      </c>
      <c r="O100" s="296">
        <v>4</v>
      </c>
    </row>
    <row r="101" spans="1:15" ht="15.75">
      <c r="B101" s="293" t="s">
        <v>406</v>
      </c>
      <c r="H101" s="301"/>
      <c r="I101" s="301"/>
      <c r="J101" s="301"/>
      <c r="K101" s="301"/>
      <c r="L101" s="301"/>
      <c r="M101" s="296">
        <v>0</v>
      </c>
      <c r="N101" s="296">
        <v>0</v>
      </c>
      <c r="O101" s="296">
        <v>0</v>
      </c>
    </row>
    <row r="102" spans="1:15" ht="15.75">
      <c r="B102" s="293" t="s">
        <v>407</v>
      </c>
      <c r="H102" s="301"/>
      <c r="I102" s="301"/>
      <c r="J102" s="301"/>
      <c r="K102" s="301"/>
      <c r="L102" s="301"/>
      <c r="M102" s="296">
        <v>0</v>
      </c>
      <c r="N102" s="296">
        <v>0</v>
      </c>
      <c r="O102" s="296">
        <v>0</v>
      </c>
    </row>
    <row r="103" spans="1:15" ht="15.75">
      <c r="B103" s="293" t="s">
        <v>408</v>
      </c>
      <c r="H103" s="301"/>
      <c r="I103" s="301"/>
      <c r="J103" s="301"/>
      <c r="K103" s="301"/>
      <c r="L103" s="301"/>
      <c r="M103" s="296">
        <v>0</v>
      </c>
      <c r="N103" s="296">
        <v>0</v>
      </c>
      <c r="O103" s="296">
        <v>0</v>
      </c>
    </row>
    <row r="104" spans="1:15" ht="15.75">
      <c r="B104" s="293" t="s">
        <v>409</v>
      </c>
      <c r="H104" s="300"/>
      <c r="I104" s="300"/>
      <c r="J104" s="300"/>
      <c r="K104" s="300"/>
      <c r="L104" s="300"/>
      <c r="M104" s="297">
        <f t="shared" ref="M104:O104" si="37">SUM(M100:M103)</f>
        <v>0</v>
      </c>
      <c r="N104" s="297">
        <f t="shared" si="37"/>
        <v>0</v>
      </c>
      <c r="O104" s="297">
        <f t="shared" si="37"/>
        <v>4</v>
      </c>
    </row>
    <row r="106" spans="1:15" ht="15.75">
      <c r="A106" s="273" t="s">
        <v>417</v>
      </c>
    </row>
    <row r="107" spans="1:15" ht="15.75">
      <c r="B107" s="275" t="str">
        <f>A106&amp;" "&amp;"Enrollment Projections"</f>
        <v>Chatt Prep II Enrollment Projections</v>
      </c>
      <c r="C107" s="275"/>
      <c r="D107" s="275"/>
      <c r="E107" s="275"/>
      <c r="F107" s="275"/>
      <c r="G107" s="275"/>
      <c r="H107" s="275"/>
      <c r="I107" s="275"/>
      <c r="J107" s="275"/>
      <c r="K107" s="275"/>
      <c r="L107" s="275"/>
      <c r="M107" s="275"/>
      <c r="N107" s="275"/>
      <c r="O107" s="275"/>
    </row>
    <row r="108" spans="1:15" ht="16.5" thickBot="1">
      <c r="B108" s="276"/>
      <c r="C108" s="277" t="str">
        <f>INPUTS!C3</f>
        <v>FY18-19</v>
      </c>
      <c r="D108" s="277" t="str">
        <f>INPUTS!D3</f>
        <v>FY19-20</v>
      </c>
      <c r="E108" s="277" t="str">
        <f>INPUTS!E3</f>
        <v>FY20-21</v>
      </c>
      <c r="F108" s="277" t="str">
        <f>INPUTS!F3</f>
        <v>FY21-22</v>
      </c>
      <c r="G108" s="277" t="str">
        <f>INPUTS!G3</f>
        <v>FY22-23</v>
      </c>
      <c r="H108" s="277" t="str">
        <f>INPUTS!H3</f>
        <v>FY23-24</v>
      </c>
      <c r="I108" s="277" t="str">
        <f>INPUTS!I3</f>
        <v>FY24-25</v>
      </c>
      <c r="J108" s="277" t="str">
        <f>INPUTS!J3</f>
        <v>FY25-26</v>
      </c>
      <c r="K108" s="277" t="str">
        <f>INPUTS!K3</f>
        <v>FY26-27</v>
      </c>
      <c r="L108" s="277" t="str">
        <f>INPUTS!L3</f>
        <v>FY27-28</v>
      </c>
      <c r="M108" s="277" t="str">
        <f>INPUTS!M3</f>
        <v>FY28-29</v>
      </c>
      <c r="N108" s="277" t="str">
        <f>INPUTS!N3</f>
        <v>FY29-30</v>
      </c>
      <c r="O108" s="277" t="str">
        <f>INPUTS!O3</f>
        <v>FY30-31</v>
      </c>
    </row>
    <row r="109" spans="1:15" ht="16.5" thickBot="1">
      <c r="B109" s="278" t="s">
        <v>418</v>
      </c>
      <c r="C109" s="279"/>
      <c r="D109" s="279"/>
      <c r="E109" s="280"/>
      <c r="F109" s="280"/>
      <c r="G109" s="280"/>
      <c r="H109" s="280"/>
      <c r="I109" s="280"/>
      <c r="J109" s="280"/>
      <c r="K109" s="280"/>
      <c r="L109" s="280"/>
      <c r="M109" s="280"/>
      <c r="N109" s="280"/>
      <c r="O109" s="280"/>
    </row>
    <row r="110" spans="1:15" ht="15.75">
      <c r="B110" s="281">
        <v>6</v>
      </c>
      <c r="C110" s="282">
        <v>0</v>
      </c>
      <c r="D110" s="282">
        <v>0</v>
      </c>
      <c r="E110" s="282">
        <v>0</v>
      </c>
      <c r="F110" s="282">
        <v>0</v>
      </c>
      <c r="G110" s="282">
        <v>0</v>
      </c>
      <c r="H110" s="282">
        <v>0</v>
      </c>
      <c r="I110" s="282">
        <v>0</v>
      </c>
      <c r="J110" s="282">
        <v>0</v>
      </c>
      <c r="K110" s="282">
        <v>0</v>
      </c>
      <c r="L110" s="282">
        <v>105</v>
      </c>
      <c r="M110" s="282">
        <f>L110+M122</f>
        <v>105</v>
      </c>
      <c r="N110" s="282">
        <f t="shared" ref="N110:O110" si="38">M110+N122</f>
        <v>105</v>
      </c>
      <c r="O110" s="282">
        <f t="shared" si="38"/>
        <v>105</v>
      </c>
    </row>
    <row r="111" spans="1:15" ht="15.75">
      <c r="B111" s="281">
        <v>7</v>
      </c>
      <c r="C111" s="282">
        <v>0</v>
      </c>
      <c r="D111" s="282">
        <v>0</v>
      </c>
      <c r="E111" s="282">
        <v>0</v>
      </c>
      <c r="F111" s="282">
        <v>0</v>
      </c>
      <c r="G111" s="282">
        <v>0</v>
      </c>
      <c r="H111" s="282">
        <v>0</v>
      </c>
      <c r="I111" s="282">
        <v>0</v>
      </c>
      <c r="J111" s="282">
        <v>0</v>
      </c>
      <c r="K111" s="282">
        <v>0</v>
      </c>
      <c r="L111" s="282">
        <v>0</v>
      </c>
      <c r="M111" s="282">
        <f>L110+M123</f>
        <v>102</v>
      </c>
      <c r="N111" s="282">
        <f t="shared" ref="N111:O112" si="39">M110+N123</f>
        <v>102</v>
      </c>
      <c r="O111" s="282">
        <f t="shared" si="39"/>
        <v>102</v>
      </c>
    </row>
    <row r="112" spans="1:15" ht="15.75">
      <c r="B112" s="281">
        <v>8</v>
      </c>
      <c r="C112" s="282">
        <v>0</v>
      </c>
      <c r="D112" s="282">
        <v>0</v>
      </c>
      <c r="E112" s="282">
        <v>0</v>
      </c>
      <c r="F112" s="282">
        <v>0</v>
      </c>
      <c r="G112" s="282">
        <v>0</v>
      </c>
      <c r="H112" s="282">
        <v>0</v>
      </c>
      <c r="I112" s="282">
        <v>0</v>
      </c>
      <c r="J112" s="282">
        <v>0</v>
      </c>
      <c r="K112" s="282">
        <v>0</v>
      </c>
      <c r="L112" s="282">
        <v>0</v>
      </c>
      <c r="M112" s="282"/>
      <c r="N112" s="282">
        <f t="shared" si="39"/>
        <v>99</v>
      </c>
      <c r="O112" s="282">
        <f t="shared" si="39"/>
        <v>99</v>
      </c>
    </row>
    <row r="113" spans="2:15" ht="15.75">
      <c r="B113" s="281">
        <v>9</v>
      </c>
      <c r="C113" s="282">
        <v>0</v>
      </c>
      <c r="D113" s="282">
        <v>0</v>
      </c>
      <c r="E113" s="282">
        <v>0</v>
      </c>
      <c r="F113" s="282">
        <v>0</v>
      </c>
      <c r="G113" s="282">
        <v>0</v>
      </c>
      <c r="H113" s="282">
        <v>0</v>
      </c>
      <c r="I113" s="282">
        <v>0</v>
      </c>
      <c r="J113" s="282">
        <v>0</v>
      </c>
      <c r="K113" s="282">
        <v>0</v>
      </c>
      <c r="L113" s="282">
        <v>0</v>
      </c>
      <c r="M113" s="282">
        <v>0</v>
      </c>
      <c r="N113" s="282">
        <v>0</v>
      </c>
      <c r="O113" s="282">
        <f>N112+O127</f>
        <v>103</v>
      </c>
    </row>
    <row r="114" spans="2:15" ht="15.75">
      <c r="B114" s="281">
        <v>10</v>
      </c>
      <c r="C114" s="282">
        <v>0</v>
      </c>
      <c r="D114" s="282">
        <v>0</v>
      </c>
      <c r="E114" s="282">
        <v>0</v>
      </c>
      <c r="F114" s="282">
        <v>0</v>
      </c>
      <c r="G114" s="282">
        <v>0</v>
      </c>
      <c r="H114" s="282">
        <v>0</v>
      </c>
      <c r="I114" s="282">
        <v>0</v>
      </c>
      <c r="J114" s="282">
        <v>0</v>
      </c>
      <c r="K114" s="282">
        <v>0</v>
      </c>
      <c r="L114" s="282">
        <v>0</v>
      </c>
      <c r="M114" s="282">
        <v>0</v>
      </c>
      <c r="N114" s="282">
        <v>0</v>
      </c>
      <c r="O114" s="282">
        <v>0</v>
      </c>
    </row>
    <row r="115" spans="2:15" ht="15.75">
      <c r="B115" s="281">
        <v>11</v>
      </c>
      <c r="C115" s="282">
        <v>0</v>
      </c>
      <c r="D115" s="282">
        <v>0</v>
      </c>
      <c r="E115" s="282">
        <v>0</v>
      </c>
      <c r="F115" s="282">
        <v>0</v>
      </c>
      <c r="G115" s="282">
        <v>0</v>
      </c>
      <c r="H115" s="282">
        <v>0</v>
      </c>
      <c r="I115" s="282">
        <v>0</v>
      </c>
      <c r="J115" s="282">
        <v>0</v>
      </c>
      <c r="K115" s="282">
        <v>0</v>
      </c>
      <c r="L115" s="282">
        <v>0</v>
      </c>
      <c r="M115" s="282">
        <v>0</v>
      </c>
      <c r="N115" s="282">
        <v>0</v>
      </c>
      <c r="O115" s="282">
        <v>0</v>
      </c>
    </row>
    <row r="116" spans="2:15" ht="15.75">
      <c r="B116" s="281">
        <v>12</v>
      </c>
      <c r="C116" s="282">
        <v>0</v>
      </c>
      <c r="D116" s="282">
        <v>0</v>
      </c>
      <c r="E116" s="282">
        <v>0</v>
      </c>
      <c r="F116" s="282">
        <v>0</v>
      </c>
      <c r="G116" s="282">
        <v>0</v>
      </c>
      <c r="H116" s="282">
        <v>0</v>
      </c>
      <c r="I116" s="282">
        <v>0</v>
      </c>
      <c r="J116" s="282">
        <v>0</v>
      </c>
      <c r="K116" s="282">
        <v>0</v>
      </c>
      <c r="L116" s="282">
        <v>0</v>
      </c>
      <c r="M116" s="282">
        <v>0</v>
      </c>
      <c r="N116" s="282">
        <v>0</v>
      </c>
      <c r="O116" s="282">
        <v>0</v>
      </c>
    </row>
    <row r="117" spans="2:15" ht="15.75">
      <c r="B117" s="283" t="s">
        <v>384</v>
      </c>
      <c r="C117" s="284">
        <f>SUM(C110:C116)</f>
        <v>0</v>
      </c>
      <c r="D117" s="284">
        <f t="shared" ref="D117:O117" si="40">SUM(D110:D116)</f>
        <v>0</v>
      </c>
      <c r="E117" s="284">
        <f t="shared" si="40"/>
        <v>0</v>
      </c>
      <c r="F117" s="284">
        <f t="shared" si="40"/>
        <v>0</v>
      </c>
      <c r="G117" s="284">
        <f t="shared" si="40"/>
        <v>0</v>
      </c>
      <c r="H117" s="284">
        <f t="shared" si="40"/>
        <v>0</v>
      </c>
      <c r="I117" s="284">
        <f t="shared" si="40"/>
        <v>0</v>
      </c>
      <c r="J117" s="284">
        <f t="shared" si="40"/>
        <v>0</v>
      </c>
      <c r="K117" s="284">
        <f t="shared" si="40"/>
        <v>0</v>
      </c>
      <c r="L117" s="284">
        <f t="shared" si="40"/>
        <v>105</v>
      </c>
      <c r="M117" s="284">
        <f t="shared" si="40"/>
        <v>207</v>
      </c>
      <c r="N117" s="284">
        <f t="shared" si="40"/>
        <v>306</v>
      </c>
      <c r="O117" s="284">
        <f t="shared" si="40"/>
        <v>409</v>
      </c>
    </row>
    <row r="118" spans="2:15" ht="15.75">
      <c r="B118" s="285" t="s">
        <v>385</v>
      </c>
      <c r="C118" s="286">
        <f t="shared" ref="C118:O118" si="41">SUM(C110:C112)</f>
        <v>0</v>
      </c>
      <c r="D118" s="286">
        <f>SUM(D110:D112)</f>
        <v>0</v>
      </c>
      <c r="E118" s="286">
        <f t="shared" si="41"/>
        <v>0</v>
      </c>
      <c r="F118" s="286">
        <f t="shared" si="41"/>
        <v>0</v>
      </c>
      <c r="G118" s="286">
        <f t="shared" si="41"/>
        <v>0</v>
      </c>
      <c r="H118" s="286">
        <f t="shared" si="41"/>
        <v>0</v>
      </c>
      <c r="I118" s="286">
        <f t="shared" si="41"/>
        <v>0</v>
      </c>
      <c r="J118" s="286">
        <f t="shared" si="41"/>
        <v>0</v>
      </c>
      <c r="K118" s="286">
        <f t="shared" si="41"/>
        <v>0</v>
      </c>
      <c r="L118" s="286">
        <f t="shared" si="41"/>
        <v>105</v>
      </c>
      <c r="M118" s="286">
        <f t="shared" si="41"/>
        <v>207</v>
      </c>
      <c r="N118" s="286">
        <f t="shared" si="41"/>
        <v>306</v>
      </c>
      <c r="O118" s="286">
        <f t="shared" si="41"/>
        <v>306</v>
      </c>
    </row>
    <row r="119" spans="2:15" ht="16.5" thickBot="1">
      <c r="B119" s="287" t="s">
        <v>386</v>
      </c>
      <c r="C119" s="288">
        <f t="shared" ref="C119:O119" si="42">SUM(C113:C116)</f>
        <v>0</v>
      </c>
      <c r="D119" s="288">
        <f t="shared" si="42"/>
        <v>0</v>
      </c>
      <c r="E119" s="288">
        <f t="shared" si="42"/>
        <v>0</v>
      </c>
      <c r="F119" s="288">
        <f t="shared" si="42"/>
        <v>0</v>
      </c>
      <c r="G119" s="288">
        <f t="shared" si="42"/>
        <v>0</v>
      </c>
      <c r="H119" s="288">
        <f t="shared" si="42"/>
        <v>0</v>
      </c>
      <c r="I119" s="288">
        <f t="shared" si="42"/>
        <v>0</v>
      </c>
      <c r="J119" s="288">
        <f t="shared" si="42"/>
        <v>0</v>
      </c>
      <c r="K119" s="288">
        <f t="shared" si="42"/>
        <v>0</v>
      </c>
      <c r="L119" s="288">
        <f t="shared" si="42"/>
        <v>0</v>
      </c>
      <c r="M119" s="288">
        <f t="shared" si="42"/>
        <v>0</v>
      </c>
      <c r="N119" s="288">
        <f t="shared" si="42"/>
        <v>0</v>
      </c>
      <c r="O119" s="288">
        <f t="shared" si="42"/>
        <v>103</v>
      </c>
    </row>
    <row r="121" spans="2:15" ht="15.75">
      <c r="B121" s="292" t="s">
        <v>396</v>
      </c>
    </row>
    <row r="122" spans="2:15" ht="15.75">
      <c r="B122" s="293" t="s">
        <v>413</v>
      </c>
      <c r="H122" s="301"/>
      <c r="I122" s="301"/>
      <c r="J122" s="301"/>
      <c r="K122" s="301"/>
      <c r="L122" s="301"/>
      <c r="M122" s="296">
        <v>0</v>
      </c>
      <c r="N122" s="296">
        <v>0</v>
      </c>
      <c r="O122" s="296">
        <v>0</v>
      </c>
    </row>
    <row r="123" spans="2:15" ht="15.75">
      <c r="B123" s="293" t="s">
        <v>401</v>
      </c>
      <c r="H123" s="301"/>
      <c r="I123" s="301"/>
      <c r="J123" s="301"/>
      <c r="K123" s="301"/>
      <c r="L123" s="301"/>
      <c r="M123" s="296">
        <v>-3</v>
      </c>
      <c r="N123" s="296">
        <v>-3</v>
      </c>
      <c r="O123" s="296">
        <v>-3</v>
      </c>
    </row>
    <row r="124" spans="2:15" ht="15.75">
      <c r="B124" s="293" t="s">
        <v>402</v>
      </c>
      <c r="H124" s="301"/>
      <c r="I124" s="301"/>
      <c r="J124" s="301"/>
      <c r="K124" s="301"/>
      <c r="L124" s="301"/>
      <c r="M124" s="296">
        <v>0</v>
      </c>
      <c r="N124" s="296">
        <v>-3</v>
      </c>
      <c r="O124" s="296">
        <v>-3</v>
      </c>
    </row>
    <row r="125" spans="2:15" ht="15.75">
      <c r="B125" s="293" t="s">
        <v>403</v>
      </c>
      <c r="H125" s="300"/>
      <c r="I125" s="300"/>
      <c r="J125" s="300"/>
      <c r="K125" s="300"/>
      <c r="L125" s="300"/>
      <c r="M125" s="297">
        <f>SUM(M121:M124)</f>
        <v>-3</v>
      </c>
      <c r="N125" s="297">
        <f>SUM(N121:N124)</f>
        <v>-6</v>
      </c>
      <c r="O125" s="297">
        <f t="shared" ref="O125" si="43">SUM(O121:O124)</f>
        <v>-6</v>
      </c>
    </row>
    <row r="126" spans="2:15" ht="15.75">
      <c r="B126" s="292"/>
    </row>
    <row r="127" spans="2:15" ht="15.75">
      <c r="B127" s="293" t="s">
        <v>414</v>
      </c>
      <c r="H127" s="301"/>
      <c r="I127" s="301"/>
      <c r="J127" s="301"/>
      <c r="K127" s="301"/>
      <c r="L127" s="301"/>
      <c r="M127" s="296">
        <v>0</v>
      </c>
      <c r="N127" s="296">
        <v>0</v>
      </c>
      <c r="O127" s="296">
        <v>4</v>
      </c>
    </row>
    <row r="128" spans="2:15" ht="15.75">
      <c r="B128" s="293" t="s">
        <v>406</v>
      </c>
      <c r="H128" s="301"/>
      <c r="I128" s="301"/>
      <c r="J128" s="301"/>
      <c r="K128" s="301"/>
      <c r="L128" s="301"/>
      <c r="M128" s="296">
        <v>0</v>
      </c>
      <c r="N128" s="296">
        <v>0</v>
      </c>
      <c r="O128" s="296">
        <v>0</v>
      </c>
    </row>
    <row r="129" spans="2:15" ht="15.75">
      <c r="B129" s="293" t="s">
        <v>407</v>
      </c>
      <c r="H129" s="301"/>
      <c r="I129" s="301"/>
      <c r="J129" s="301"/>
      <c r="K129" s="301"/>
      <c r="L129" s="301"/>
      <c r="M129" s="296">
        <v>0</v>
      </c>
      <c r="N129" s="296">
        <v>0</v>
      </c>
      <c r="O129" s="296">
        <v>0</v>
      </c>
    </row>
    <row r="130" spans="2:15" ht="15.75">
      <c r="B130" s="293" t="s">
        <v>408</v>
      </c>
      <c r="H130" s="301"/>
      <c r="I130" s="301"/>
      <c r="J130" s="301"/>
      <c r="K130" s="301"/>
      <c r="L130" s="301"/>
      <c r="M130" s="296">
        <v>0</v>
      </c>
      <c r="N130" s="296">
        <v>0</v>
      </c>
      <c r="O130" s="296">
        <v>0</v>
      </c>
    </row>
    <row r="131" spans="2:15" ht="15.75">
      <c r="B131" s="293" t="s">
        <v>409</v>
      </c>
      <c r="H131" s="300"/>
      <c r="I131" s="300"/>
      <c r="J131" s="300"/>
      <c r="K131" s="300"/>
      <c r="L131" s="300"/>
      <c r="M131" s="297">
        <f t="shared" ref="M131:O131" si="44">SUM(M127:M130)</f>
        <v>0</v>
      </c>
      <c r="N131" s="297">
        <f t="shared" si="44"/>
        <v>0</v>
      </c>
      <c r="O131" s="297">
        <f t="shared" si="44"/>
        <v>4</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7656-9E18-4E9E-B90B-86DC99F0A92A}">
  <sheetPr>
    <tabColor theme="9" tint="0.79998168889431442"/>
  </sheetPr>
  <dimension ref="A1:R104"/>
  <sheetViews>
    <sheetView topLeftCell="A9" zoomScale="85" zoomScaleNormal="85" workbookViewId="0">
      <selection activeCell="H57" sqref="H57"/>
    </sheetView>
  </sheetViews>
  <sheetFormatPr defaultColWidth="9.140625" defaultRowHeight="15" outlineLevelCol="1"/>
  <cols>
    <col min="1" max="1" width="3.28515625" customWidth="1"/>
    <col min="2" max="2" width="33.28515625" bestFit="1" customWidth="1"/>
    <col min="3" max="8" width="14.85546875" customWidth="1" outlineLevel="1"/>
    <col min="9" max="13" width="14.85546875" customWidth="1"/>
    <col min="14" max="15" width="17.28515625" customWidth="1"/>
    <col min="16" max="16" width="64.7109375" bestFit="1" customWidth="1"/>
    <col min="17" max="17" width="14.85546875" customWidth="1"/>
    <col min="18" max="18" width="2.42578125" customWidth="1"/>
  </cols>
  <sheetData>
    <row r="1" spans="1:18" ht="19.5">
      <c r="A1" s="165" t="s">
        <v>588</v>
      </c>
      <c r="B1" s="433"/>
      <c r="C1" s="433"/>
      <c r="D1" s="433"/>
      <c r="E1" s="433"/>
      <c r="F1" s="434"/>
      <c r="G1" s="434"/>
      <c r="H1" s="434"/>
      <c r="I1" s="434"/>
      <c r="J1" s="434"/>
      <c r="K1" s="434"/>
      <c r="L1" s="434"/>
      <c r="M1" s="434"/>
      <c r="N1" s="434"/>
      <c r="O1" s="434"/>
      <c r="P1" s="433"/>
      <c r="Q1" s="433"/>
      <c r="R1" s="435"/>
    </row>
    <row r="2" spans="1:18" ht="16.5">
      <c r="A2" s="436" t="s">
        <v>589</v>
      </c>
      <c r="B2" s="433"/>
      <c r="C2" s="433"/>
      <c r="D2" s="433"/>
      <c r="E2" s="433"/>
      <c r="F2" s="433"/>
      <c r="G2" s="433"/>
      <c r="H2" s="433"/>
      <c r="I2" s="433"/>
      <c r="J2" s="433"/>
      <c r="K2" s="433"/>
      <c r="L2" s="433"/>
      <c r="M2" s="433"/>
      <c r="N2" s="433"/>
      <c r="O2" s="433"/>
      <c r="P2" s="433"/>
      <c r="Q2" s="433"/>
      <c r="R2" s="435"/>
    </row>
    <row r="3" spans="1:18">
      <c r="A3" s="303" t="s">
        <v>277</v>
      </c>
      <c r="B3" s="433"/>
      <c r="C3" s="433"/>
      <c r="D3" s="433"/>
      <c r="E3" s="433"/>
      <c r="F3" s="433"/>
      <c r="G3" s="433"/>
      <c r="H3" s="433"/>
      <c r="I3" s="433"/>
      <c r="J3" s="433"/>
      <c r="K3" s="433"/>
      <c r="L3" s="433"/>
      <c r="M3" s="433"/>
      <c r="N3" s="433"/>
      <c r="O3" s="433"/>
      <c r="P3" s="433"/>
      <c r="Q3" s="433"/>
      <c r="R3" s="435"/>
    </row>
    <row r="4" spans="1:18">
      <c r="A4" s="437"/>
      <c r="B4" s="433"/>
      <c r="C4" s="433"/>
      <c r="D4" s="433"/>
      <c r="E4" s="433"/>
      <c r="F4" s="433"/>
      <c r="G4" s="433"/>
      <c r="H4" s="433"/>
      <c r="I4" s="433"/>
      <c r="J4" s="433"/>
      <c r="K4" s="433"/>
      <c r="L4" s="433"/>
      <c r="M4" s="433"/>
      <c r="N4" s="433"/>
      <c r="O4" s="433"/>
      <c r="P4" s="433"/>
      <c r="Q4" s="433"/>
      <c r="R4" s="435"/>
    </row>
    <row r="5" spans="1:18">
      <c r="A5" s="438"/>
      <c r="B5" s="439" t="s">
        <v>590</v>
      </c>
      <c r="C5" s="440"/>
      <c r="D5" s="440"/>
      <c r="E5" s="440"/>
      <c r="F5" s="440"/>
      <c r="G5" s="440"/>
      <c r="H5" s="440"/>
      <c r="I5" s="440"/>
      <c r="J5" s="440"/>
      <c r="K5" s="440"/>
      <c r="L5" s="440"/>
      <c r="M5" s="440"/>
      <c r="N5" s="440"/>
      <c r="O5" s="440"/>
      <c r="P5" s="440"/>
    </row>
    <row r="6" spans="1:18">
      <c r="A6" s="433"/>
      <c r="B6" s="441"/>
      <c r="C6" s="442" t="str">
        <f>[2]INPUTS!C$3</f>
        <v>FY18-19</v>
      </c>
      <c r="D6" s="442" t="str">
        <f>[2]INPUTS!D$3</f>
        <v>FY19-20</v>
      </c>
      <c r="E6" s="442" t="str">
        <f>[2]INPUTS!E$3</f>
        <v>FY20-21</v>
      </c>
      <c r="F6" s="442" t="str">
        <f>[2]INPUTS!F$3</f>
        <v>FY21-22</v>
      </c>
      <c r="G6" s="442" t="str">
        <f>[2]INPUTS!G$3</f>
        <v>FY22-23</v>
      </c>
      <c r="H6" s="442" t="str">
        <f>[2]INPUTS!H$3</f>
        <v>FY23-24</v>
      </c>
      <c r="I6" s="442" t="str">
        <f>[2]INPUTS!I$3</f>
        <v>FY24-25</v>
      </c>
      <c r="J6" s="442" t="str">
        <f>[2]INPUTS!J$3</f>
        <v>FY25-26</v>
      </c>
      <c r="K6" s="442" t="str">
        <f>[2]INPUTS!K$3</f>
        <v>FY26-27</v>
      </c>
      <c r="L6" s="442" t="str">
        <f>[2]INPUTS!L$3</f>
        <v>FY27-28</v>
      </c>
      <c r="M6" s="442" t="str">
        <f>[2]INPUTS!M$3</f>
        <v>FY28-29</v>
      </c>
      <c r="N6" s="442" t="str">
        <f>[2]INPUTS!N$3</f>
        <v>FY29-30</v>
      </c>
      <c r="O6" s="442" t="str">
        <f>[2]INPUTS!O$3</f>
        <v>FY30-31</v>
      </c>
      <c r="P6" s="443" t="s">
        <v>591</v>
      </c>
    </row>
    <row r="7" spans="1:18">
      <c r="A7" s="433" t="s">
        <v>518</v>
      </c>
      <c r="B7" s="444" t="s">
        <v>218</v>
      </c>
      <c r="C7" s="445">
        <f>[2]ENROLLMENT!C63</f>
        <v>0</v>
      </c>
      <c r="D7" s="445">
        <f>[2]ENROLLMENT!D63</f>
        <v>0</v>
      </c>
      <c r="E7" s="445">
        <f>[2]ENROLLMENT!E63</f>
        <v>0</v>
      </c>
      <c r="F7" s="445">
        <f>[2]ENROLLMENT!F63</f>
        <v>0</v>
      </c>
      <c r="G7" s="445">
        <f>[2]ENROLLMENT!G63</f>
        <v>0</v>
      </c>
      <c r="H7" s="445">
        <f>[2]ENROLLMENT!H63</f>
        <v>0</v>
      </c>
      <c r="I7" s="445">
        <f>[2]ENROLLMENT!I63</f>
        <v>105</v>
      </c>
      <c r="J7" s="445">
        <f>[2]ENROLLMENT!J63</f>
        <v>207</v>
      </c>
      <c r="K7" s="445">
        <f>[2]ENROLLMENT!K63</f>
        <v>306</v>
      </c>
      <c r="L7" s="445">
        <f>[2]ENROLLMENT!L63</f>
        <v>409</v>
      </c>
      <c r="M7" s="445">
        <f>[2]ENROLLMENT!M63</f>
        <v>509</v>
      </c>
      <c r="N7" s="445">
        <f>[2]ENROLLMENT!N63</f>
        <v>606</v>
      </c>
      <c r="O7" s="445">
        <f>[2]ENROLLMENT!O63</f>
        <v>700</v>
      </c>
      <c r="P7" s="446"/>
    </row>
    <row r="8" spans="1:18">
      <c r="A8" s="433"/>
      <c r="B8" s="444" t="s">
        <v>592</v>
      </c>
      <c r="C8" s="447">
        <f>'[2]KNOX-BOYS'!C6</f>
        <v>0</v>
      </c>
      <c r="D8" s="447">
        <f>'[2]KNOX-BOYS'!D6</f>
        <v>0</v>
      </c>
      <c r="E8" s="447">
        <f>'[2]KNOX-BOYS'!E6</f>
        <v>0</v>
      </c>
      <c r="F8" s="447">
        <f>'[2]KNOX-BOYS'!F6</f>
        <v>0</v>
      </c>
      <c r="G8" s="447">
        <f>'[2]KNOX-BOYS'!G6</f>
        <v>0</v>
      </c>
      <c r="H8" s="447">
        <f>'[2]KNOX-BOYS'!H6</f>
        <v>-303896.73641807999</v>
      </c>
      <c r="I8" s="447">
        <f>'[2]KNOX-BOYS'!I6</f>
        <v>-278511.40869603399</v>
      </c>
      <c r="J8" s="447">
        <f>'[2]KNOX-BOYS'!J6</f>
        <v>-270300.18935021525</v>
      </c>
      <c r="K8" s="447">
        <f>'[2]KNOX-BOYS'!K6</f>
        <v>-188266.8769338401</v>
      </c>
      <c r="L8" s="447">
        <f>'[2]KNOX-BOYS'!L6</f>
        <v>-97583.638586553745</v>
      </c>
      <c r="M8" s="447">
        <f>'[2]KNOX-BOYS'!M6</f>
        <v>139729.01251638401</v>
      </c>
      <c r="N8" s="447">
        <f>'[2]KNOX-BOYS'!N6</f>
        <v>406522.47586135007</v>
      </c>
      <c r="O8" s="447">
        <f>'[2]KNOX-BOYS'!O6</f>
        <v>600253.43554023467</v>
      </c>
      <c r="P8" s="446"/>
    </row>
    <row r="9" spans="1:18">
      <c r="A9" s="433"/>
      <c r="B9" s="444" t="s">
        <v>336</v>
      </c>
      <c r="C9" s="448">
        <f>C37</f>
        <v>0</v>
      </c>
      <c r="D9" s="448">
        <f>D37</f>
        <v>0</v>
      </c>
      <c r="E9" s="448">
        <f t="shared" ref="E9:O9" si="0">E37</f>
        <v>0</v>
      </c>
      <c r="F9" s="448">
        <f t="shared" si="0"/>
        <v>0</v>
      </c>
      <c r="G9" s="448">
        <f t="shared" si="0"/>
        <v>0</v>
      </c>
      <c r="H9" s="448" t="e">
        <f>H37</f>
        <v>#VALUE!</v>
      </c>
      <c r="I9" s="448">
        <f t="shared" si="0"/>
        <v>12.5</v>
      </c>
      <c r="J9" s="448">
        <f t="shared" si="0"/>
        <v>18</v>
      </c>
      <c r="K9" s="448">
        <f t="shared" si="0"/>
        <v>26.5</v>
      </c>
      <c r="L9" s="448">
        <f t="shared" si="0"/>
        <v>35</v>
      </c>
      <c r="M9" s="448">
        <f t="shared" si="0"/>
        <v>43.5</v>
      </c>
      <c r="N9" s="448">
        <f t="shared" si="0"/>
        <v>51.5</v>
      </c>
      <c r="O9" s="448">
        <f t="shared" si="0"/>
        <v>60</v>
      </c>
      <c r="P9" s="446"/>
    </row>
    <row r="10" spans="1:18">
      <c r="A10" s="433"/>
      <c r="B10" s="449" t="s">
        <v>593</v>
      </c>
      <c r="C10" s="450">
        <f t="shared" ref="C10:G10" si="1">IFERROR(C7/C9,0)</f>
        <v>0</v>
      </c>
      <c r="D10" s="450">
        <f t="shared" si="1"/>
        <v>0</v>
      </c>
      <c r="E10" s="450">
        <f t="shared" si="1"/>
        <v>0</v>
      </c>
      <c r="F10" s="450">
        <f t="shared" si="1"/>
        <v>0</v>
      </c>
      <c r="G10" s="450">
        <f t="shared" si="1"/>
        <v>0</v>
      </c>
      <c r="H10" s="450">
        <f>IFERROR(H7/H9,0)</f>
        <v>0</v>
      </c>
      <c r="I10" s="450">
        <f>IFERROR(I7/I9,0)</f>
        <v>8.4</v>
      </c>
      <c r="J10" s="450">
        <f t="shared" ref="J10:O10" si="2">IFERROR(J7/J9,0)</f>
        <v>11.5</v>
      </c>
      <c r="K10" s="450">
        <f t="shared" si="2"/>
        <v>11.547169811320755</v>
      </c>
      <c r="L10" s="450">
        <f t="shared" si="2"/>
        <v>11.685714285714285</v>
      </c>
      <c r="M10" s="450">
        <f t="shared" si="2"/>
        <v>11.701149425287356</v>
      </c>
      <c r="N10" s="450">
        <f t="shared" si="2"/>
        <v>11.766990291262136</v>
      </c>
      <c r="O10" s="450">
        <f t="shared" si="2"/>
        <v>11.666666666666666</v>
      </c>
      <c r="P10" s="451"/>
    </row>
    <row r="11" spans="1:18">
      <c r="A11" s="433"/>
      <c r="B11" s="452"/>
      <c r="C11" s="452"/>
      <c r="D11" s="452"/>
      <c r="E11" s="452"/>
      <c r="F11" s="453"/>
      <c r="G11" s="453"/>
      <c r="H11" s="453"/>
      <c r="I11" s="453"/>
      <c r="J11" s="454"/>
      <c r="K11" s="454"/>
      <c r="L11" s="454"/>
      <c r="M11" s="454"/>
      <c r="N11" s="454"/>
      <c r="O11" s="454"/>
      <c r="P11" s="451"/>
    </row>
    <row r="12" spans="1:18">
      <c r="A12" s="433"/>
      <c r="B12" s="455" t="s">
        <v>594</v>
      </c>
      <c r="C12" s="456">
        <f>C86</f>
        <v>0</v>
      </c>
      <c r="D12" s="456">
        <f t="shared" ref="D12:G12" si="3">D86</f>
        <v>0</v>
      </c>
      <c r="E12" s="456">
        <f t="shared" si="3"/>
        <v>0</v>
      </c>
      <c r="F12" s="456">
        <f t="shared" si="3"/>
        <v>0</v>
      </c>
      <c r="G12" s="456">
        <f t="shared" si="3"/>
        <v>0</v>
      </c>
      <c r="H12" s="456"/>
      <c r="I12" s="456">
        <f>I79</f>
        <v>789015.05765591399</v>
      </c>
      <c r="J12" s="456">
        <f t="shared" ref="J12:O12" si="4">J79</f>
        <v>1121726.0887446937</v>
      </c>
      <c r="K12" s="456">
        <f t="shared" si="4"/>
        <v>1674676.2783838499</v>
      </c>
      <c r="L12" s="456">
        <f t="shared" si="4"/>
        <v>2259823.6556921001</v>
      </c>
      <c r="M12" s="456">
        <f t="shared" si="4"/>
        <v>2875000.2615258014</v>
      </c>
      <c r="N12" s="456">
        <f t="shared" si="4"/>
        <v>3495777.3214177736</v>
      </c>
      <c r="O12" s="456">
        <f t="shared" si="4"/>
        <v>4185125.5731316786</v>
      </c>
      <c r="P12" s="457"/>
    </row>
    <row r="13" spans="1:18">
      <c r="A13" s="433"/>
      <c r="B13" s="444" t="s">
        <v>595</v>
      </c>
      <c r="C13" s="458">
        <f>C82+C83</f>
        <v>0</v>
      </c>
      <c r="D13" s="458">
        <f t="shared" ref="D13:O13" si="5">D82+D83</f>
        <v>0</v>
      </c>
      <c r="E13" s="458">
        <f t="shared" si="5"/>
        <v>0</v>
      </c>
      <c r="F13" s="458">
        <f t="shared" si="5"/>
        <v>0</v>
      </c>
      <c r="G13" s="458">
        <f t="shared" si="5"/>
        <v>0</v>
      </c>
      <c r="H13" s="458"/>
      <c r="I13" s="458">
        <f t="shared" si="5"/>
        <v>21091.954022988506</v>
      </c>
      <c r="J13" s="458">
        <f t="shared" si="5"/>
        <v>30372.413793103449</v>
      </c>
      <c r="K13" s="458">
        <f t="shared" si="5"/>
        <v>44714.942528735635</v>
      </c>
      <c r="L13" s="458">
        <f t="shared" si="5"/>
        <v>59057.471264367821</v>
      </c>
      <c r="M13" s="458">
        <f t="shared" si="5"/>
        <v>73400</v>
      </c>
      <c r="N13" s="458">
        <f t="shared" si="5"/>
        <v>86898.850574712647</v>
      </c>
      <c r="O13" s="458">
        <f t="shared" si="5"/>
        <v>101241.37931034483</v>
      </c>
      <c r="P13" s="459"/>
    </row>
    <row r="14" spans="1:18">
      <c r="A14" s="433"/>
      <c r="B14" s="444" t="s">
        <v>596</v>
      </c>
      <c r="C14" s="444"/>
      <c r="D14" s="444"/>
      <c r="E14" s="444"/>
      <c r="F14" s="460"/>
      <c r="G14" s="460"/>
      <c r="H14" s="460"/>
      <c r="I14" s="460">
        <f>'[2]KNOX-BOYS'!I109</f>
        <v>204589.88265306121</v>
      </c>
      <c r="J14" s="460">
        <f>'[2]KNOX-BOYS'!J109</f>
        <v>300501.61964081635</v>
      </c>
      <c r="K14" s="460">
        <f>'[2]KNOX-BOYS'!K109</f>
        <v>451253.26549395919</v>
      </c>
      <c r="L14" s="460">
        <f>'[2]KNOX-BOYS'!L109</f>
        <v>607914.77653337154</v>
      </c>
      <c r="M14" s="460">
        <f>'[2]KNOX-BOYS'!M109</f>
        <v>770662.24670816271</v>
      </c>
      <c r="N14" s="460">
        <f>'[2]KNOX-BOYS'!N109</f>
        <v>930641.09930068464</v>
      </c>
      <c r="O14" s="460">
        <f>'[2]KNOX-BOYS'!O109</f>
        <v>1105926.8985864448</v>
      </c>
      <c r="P14" s="459"/>
    </row>
    <row r="15" spans="1:18">
      <c r="A15" s="433"/>
      <c r="B15" s="455" t="s">
        <v>231</v>
      </c>
      <c r="C15" s="455"/>
      <c r="D15" s="455"/>
      <c r="E15" s="455"/>
      <c r="F15" s="461"/>
      <c r="G15" s="461"/>
      <c r="H15" s="461"/>
      <c r="I15" s="461">
        <f>SUM(I12:I14)</f>
        <v>1014696.8943319637</v>
      </c>
      <c r="J15" s="461">
        <f t="shared" ref="J15:O15" si="6">SUM(J12:J14)</f>
        <v>1452600.1221786137</v>
      </c>
      <c r="K15" s="461">
        <f t="shared" si="6"/>
        <v>2170644.4864065447</v>
      </c>
      <c r="L15" s="461">
        <f t="shared" si="6"/>
        <v>2926795.9034898393</v>
      </c>
      <c r="M15" s="461">
        <f t="shared" si="6"/>
        <v>3719062.508233964</v>
      </c>
      <c r="N15" s="461">
        <f t="shared" si="6"/>
        <v>4513317.2712931708</v>
      </c>
      <c r="O15" s="461">
        <f t="shared" si="6"/>
        <v>5392293.8510284685</v>
      </c>
      <c r="P15" s="457"/>
    </row>
    <row r="16" spans="1:18">
      <c r="A16" s="433"/>
      <c r="B16" s="462" t="s">
        <v>597</v>
      </c>
      <c r="C16" s="462"/>
      <c r="D16" s="462"/>
      <c r="E16" s="462"/>
      <c r="F16" s="463"/>
      <c r="G16" s="463"/>
      <c r="H16" s="463"/>
      <c r="I16" s="463">
        <f t="shared" ref="I16:O16" si="7">I12/I9</f>
        <v>63121.204612473121</v>
      </c>
      <c r="J16" s="463">
        <f t="shared" si="7"/>
        <v>62318.116041371868</v>
      </c>
      <c r="K16" s="463">
        <f t="shared" si="7"/>
        <v>63195.331259767918</v>
      </c>
      <c r="L16" s="463">
        <f t="shared" si="7"/>
        <v>64566.390162631433</v>
      </c>
      <c r="M16" s="463">
        <f t="shared" si="7"/>
        <v>66091.960035075899</v>
      </c>
      <c r="N16" s="463">
        <f t="shared" si="7"/>
        <v>67879.171289665508</v>
      </c>
      <c r="O16" s="463">
        <f t="shared" si="7"/>
        <v>69752.092885527978</v>
      </c>
      <c r="P16" s="464"/>
    </row>
    <row r="17" spans="1:16">
      <c r="A17" s="433"/>
      <c r="B17" s="462" t="s">
        <v>598</v>
      </c>
      <c r="C17" s="462"/>
      <c r="D17" s="462"/>
      <c r="E17" s="462"/>
      <c r="F17" s="463"/>
      <c r="G17" s="463"/>
      <c r="H17" s="463"/>
      <c r="I17" s="463">
        <f>I15/I9</f>
        <v>81175.751546557105</v>
      </c>
      <c r="J17" s="463">
        <f t="shared" ref="J17:O17" si="8">J15/J9</f>
        <v>80700.006787700753</v>
      </c>
      <c r="K17" s="463">
        <f t="shared" si="8"/>
        <v>81911.112694586598</v>
      </c>
      <c r="L17" s="463">
        <f t="shared" si="8"/>
        <v>83622.740099709699</v>
      </c>
      <c r="M17" s="463">
        <f t="shared" si="8"/>
        <v>85495.689844458946</v>
      </c>
      <c r="N17" s="463">
        <f t="shared" si="8"/>
        <v>87637.22856879943</v>
      </c>
      <c r="O17" s="463">
        <f t="shared" si="8"/>
        <v>89871.564183807801</v>
      </c>
      <c r="P17" s="464"/>
    </row>
    <row r="18" spans="1:16">
      <c r="A18" s="433"/>
      <c r="B18" s="449" t="s">
        <v>599</v>
      </c>
      <c r="C18" s="449"/>
      <c r="D18" s="449"/>
      <c r="E18" s="449"/>
      <c r="F18" s="465"/>
      <c r="G18" s="465"/>
      <c r="H18" s="465"/>
      <c r="I18" s="465">
        <f>I15/'[2]KNOX-BOYS'!I154</f>
        <v>0.4101154481762106</v>
      </c>
      <c r="J18" s="465">
        <f>J15/'[2]KNOX-BOYS'!J154</f>
        <v>0.41333341085905728</v>
      </c>
      <c r="K18" s="465">
        <f>K15/'[2]KNOX-BOYS'!K154</f>
        <v>0.43407065621203023</v>
      </c>
      <c r="L18" s="465">
        <f>L15/'[2]KNOX-BOYS'!L154</f>
        <v>0.44546977737220467</v>
      </c>
      <c r="M18" s="465">
        <f>M15/'[2]KNOX-BOYS'!M154</f>
        <v>0.45183603293423963</v>
      </c>
      <c r="N18" s="465">
        <f>N15/'[2]KNOX-BOYS'!N154</f>
        <v>0.45589723632138479</v>
      </c>
      <c r="O18" s="465">
        <f>O15/'[2]KNOX-BOYS'!O154</f>
        <v>0.46172440984683827</v>
      </c>
      <c r="P18" s="466"/>
    </row>
    <row r="19" spans="1:16">
      <c r="A19" s="467"/>
      <c r="B19" s="455" t="s">
        <v>592</v>
      </c>
      <c r="C19" s="455"/>
      <c r="D19" s="455"/>
      <c r="E19" s="455"/>
      <c r="F19" s="461"/>
      <c r="G19" s="461"/>
      <c r="H19" s="468"/>
      <c r="I19" s="468">
        <f>I8</f>
        <v>-278511.40869603399</v>
      </c>
      <c r="J19" s="468">
        <f t="shared" ref="J19:O19" si="9">J8</f>
        <v>-270300.18935021525</v>
      </c>
      <c r="K19" s="468">
        <f t="shared" si="9"/>
        <v>-188266.8769338401</v>
      </c>
      <c r="L19" s="468">
        <f t="shared" si="9"/>
        <v>-97583.638586553745</v>
      </c>
      <c r="M19" s="468">
        <f t="shared" si="9"/>
        <v>139729.01251638401</v>
      </c>
      <c r="N19" s="468">
        <f t="shared" si="9"/>
        <v>406522.47586135007</v>
      </c>
      <c r="O19" s="468">
        <f t="shared" si="9"/>
        <v>600253.43554023467</v>
      </c>
      <c r="P19" s="469"/>
    </row>
    <row r="20" spans="1:16">
      <c r="A20" s="433"/>
      <c r="B20" s="444"/>
      <c r="C20" s="444"/>
      <c r="D20" s="444"/>
      <c r="E20" s="444"/>
      <c r="F20" s="470"/>
      <c r="G20" s="470"/>
      <c r="H20" s="470"/>
      <c r="I20" s="470"/>
      <c r="J20" s="470"/>
      <c r="K20" s="470"/>
      <c r="L20" s="470"/>
      <c r="M20" s="470"/>
      <c r="N20" s="470"/>
      <c r="O20" s="470"/>
      <c r="P20" s="471"/>
    </row>
    <row r="21" spans="1:16">
      <c r="A21" s="433"/>
      <c r="B21" s="444" t="s">
        <v>600</v>
      </c>
      <c r="C21" s="444"/>
      <c r="D21" s="444"/>
      <c r="E21" s="444"/>
      <c r="F21" s="470"/>
      <c r="G21" s="472"/>
      <c r="H21" s="472"/>
      <c r="I21" s="472">
        <v>0</v>
      </c>
      <c r="J21" s="472">
        <f>IFERROR(J12/I12-1,0)</f>
        <v>0.42167893737951134</v>
      </c>
      <c r="K21" s="472">
        <f t="shared" ref="K21:O21" si="10">IFERROR(K12/J12-1,0)</f>
        <v>0.49294582268114517</v>
      </c>
      <c r="L21" s="472">
        <f t="shared" si="10"/>
        <v>0.34940924694589204</v>
      </c>
      <c r="M21" s="472">
        <f t="shared" si="10"/>
        <v>0.27222327914135214</v>
      </c>
      <c r="N21" s="472">
        <f t="shared" si="10"/>
        <v>0.21592243597310756</v>
      </c>
      <c r="O21" s="472">
        <f t="shared" si="10"/>
        <v>0.19719455455312795</v>
      </c>
      <c r="P21" s="471"/>
    </row>
    <row r="22" spans="1:16">
      <c r="A22" s="433"/>
      <c r="B22" s="473"/>
      <c r="C22" s="473"/>
      <c r="D22" s="473"/>
      <c r="E22" s="473"/>
      <c r="F22" s="473"/>
      <c r="G22" s="444"/>
      <c r="H22" s="445"/>
      <c r="I22" s="444"/>
      <c r="J22" s="444"/>
      <c r="K22" s="444"/>
      <c r="L22" s="444"/>
      <c r="M22" s="444"/>
      <c r="N22" s="444"/>
      <c r="O22" s="444"/>
      <c r="P22" s="474"/>
    </row>
    <row r="23" spans="1:16">
      <c r="A23" s="433"/>
      <c r="B23" s="475"/>
      <c r="C23" s="475"/>
      <c r="D23" s="475"/>
      <c r="E23" s="475"/>
      <c r="F23" s="475"/>
      <c r="G23" s="433"/>
      <c r="H23" s="433"/>
      <c r="I23" s="433"/>
      <c r="J23" s="433"/>
      <c r="K23" s="433"/>
      <c r="L23" s="433"/>
      <c r="M23" s="433"/>
      <c r="N23" s="433"/>
      <c r="O23" s="433"/>
      <c r="P23" s="433"/>
    </row>
    <row r="24" spans="1:16">
      <c r="A24" s="433"/>
      <c r="B24" s="475"/>
      <c r="C24" s="475"/>
      <c r="D24" s="475"/>
      <c r="E24" s="475"/>
      <c r="F24" s="475"/>
      <c r="G24" s="433"/>
      <c r="H24" s="433"/>
      <c r="I24" s="433"/>
      <c r="J24" s="433"/>
      <c r="K24" s="433"/>
      <c r="L24" s="433"/>
      <c r="M24" s="433"/>
      <c r="N24" s="433"/>
      <c r="O24" s="433"/>
      <c r="P24" s="433"/>
    </row>
    <row r="25" spans="1:16">
      <c r="A25" s="438" t="s">
        <v>518</v>
      </c>
      <c r="B25" s="439" t="s">
        <v>601</v>
      </c>
      <c r="C25" s="440"/>
      <c r="D25" s="440"/>
      <c r="E25" s="440"/>
      <c r="F25" s="440"/>
      <c r="G25" s="440"/>
      <c r="H25" s="440"/>
      <c r="I25" s="440"/>
      <c r="J25" s="440"/>
      <c r="K25" s="440"/>
      <c r="L25" s="440"/>
      <c r="M25" s="440"/>
      <c r="N25" s="440"/>
      <c r="O25" s="440"/>
      <c r="P25" s="440"/>
    </row>
    <row r="26" spans="1:16">
      <c r="A26" s="433"/>
      <c r="B26" s="476" t="s">
        <v>602</v>
      </c>
      <c r="C26" s="477" t="str">
        <f>[2]INPUTS!C8</f>
        <v>FY18-19</v>
      </c>
      <c r="D26" s="477" t="str">
        <f>[2]INPUTS!D8</f>
        <v>FY19-20</v>
      </c>
      <c r="E26" s="477" t="str">
        <f>[2]INPUTS!E8</f>
        <v>FY20-21</v>
      </c>
      <c r="F26" s="477" t="str">
        <f>[2]INPUTS!F8</f>
        <v>FY21-22</v>
      </c>
      <c r="G26" s="477" t="str">
        <f>[2]INPUTS!G8</f>
        <v>FY22-23</v>
      </c>
      <c r="H26" s="477" t="str">
        <f>[2]INPUTS!H8</f>
        <v>FY23-24</v>
      </c>
      <c r="I26" s="477" t="str">
        <f>[2]INPUTS!I8</f>
        <v>FY24-25</v>
      </c>
      <c r="J26" s="477" t="str">
        <f>[2]INPUTS!J8</f>
        <v>FY25-26</v>
      </c>
      <c r="K26" s="477" t="str">
        <f>[2]INPUTS!K8</f>
        <v>FY26-27</v>
      </c>
      <c r="L26" s="477" t="str">
        <f>[2]INPUTS!L8</f>
        <v>FY27-28</v>
      </c>
      <c r="M26" s="477" t="str">
        <f>[2]INPUTS!M8</f>
        <v>FY28-29</v>
      </c>
      <c r="N26" s="477" t="str">
        <f>[2]INPUTS!N8</f>
        <v>FY29-30</v>
      </c>
      <c r="O26" s="477" t="str">
        <f>[2]INPUTS!O8</f>
        <v>FY30-31</v>
      </c>
      <c r="P26" s="443" t="s">
        <v>591</v>
      </c>
    </row>
    <row r="27" spans="1:16" ht="15.75">
      <c r="A27" s="433"/>
      <c r="B27" s="478" t="str">
        <f>'[2]FromCP_FY23-Staffing Sheet'!$J$4</f>
        <v xml:space="preserve">Lead Teacher </v>
      </c>
      <c r="C27" s="479"/>
      <c r="D27" s="479"/>
      <c r="E27" s="479"/>
      <c r="F27" s="479"/>
      <c r="G27" s="479"/>
      <c r="H27" s="480" t="e">
        <f>SUMIFS([2]ToBeDeletedstaffing!$D:$D,[2]ToBeDeletedstaffing!$C:$C,$B27,[2]ToBeDeletedstaffing!$A:$A,$A$2)</f>
        <v>#VALUE!</v>
      </c>
      <c r="I27" s="481">
        <f t="shared" ref="I27:O30" si="11">IFERROR(MROUND(I$7/I41,0.5),"")</f>
        <v>7</v>
      </c>
      <c r="J27" s="481">
        <f t="shared" si="11"/>
        <v>13</v>
      </c>
      <c r="K27" s="481">
        <f t="shared" si="11"/>
        <v>19</v>
      </c>
      <c r="L27" s="481">
        <f t="shared" si="11"/>
        <v>25.5</v>
      </c>
      <c r="M27" s="481">
        <f t="shared" si="11"/>
        <v>32</v>
      </c>
      <c r="N27" s="481">
        <f t="shared" si="11"/>
        <v>38</v>
      </c>
      <c r="O27" s="481">
        <f t="shared" si="11"/>
        <v>44</v>
      </c>
      <c r="P27" s="426" t="s">
        <v>603</v>
      </c>
    </row>
    <row r="28" spans="1:16" ht="15.75">
      <c r="A28" s="433" t="s">
        <v>448</v>
      </c>
      <c r="B28" s="478" t="str">
        <f>'[2]FromCP_FY23-Staffing Sheet'!$J$5</f>
        <v>SPED, Specials, Supports</v>
      </c>
      <c r="C28" s="479"/>
      <c r="D28" s="479"/>
      <c r="E28" s="479"/>
      <c r="F28" s="479"/>
      <c r="G28" s="479"/>
      <c r="H28" s="480" t="e">
        <f>SUMIFS([2]ToBeDeletedstaffing!$D:$D,[2]ToBeDeletedstaffing!$C:$C,$B28,[2]ToBeDeletedstaffing!$A:$A,$A$2)</f>
        <v>#VALUE!</v>
      </c>
      <c r="I28" s="481">
        <f t="shared" si="11"/>
        <v>1</v>
      </c>
      <c r="J28" s="481">
        <f t="shared" si="11"/>
        <v>2.5</v>
      </c>
      <c r="K28" s="481">
        <f t="shared" si="11"/>
        <v>4</v>
      </c>
      <c r="L28" s="481">
        <f t="shared" si="11"/>
        <v>5</v>
      </c>
      <c r="M28" s="481">
        <f t="shared" si="11"/>
        <v>6.5</v>
      </c>
      <c r="N28" s="481">
        <f t="shared" si="11"/>
        <v>7.5</v>
      </c>
      <c r="O28" s="481">
        <f t="shared" si="11"/>
        <v>9</v>
      </c>
      <c r="P28" s="426" t="s">
        <v>604</v>
      </c>
    </row>
    <row r="29" spans="1:16" ht="15.75">
      <c r="A29" s="433"/>
      <c r="B29" s="478" t="str">
        <f>'[2]FromCP_FY23-Staffing Sheet'!$J$6</f>
        <v xml:space="preserve">Principal </v>
      </c>
      <c r="C29" s="479"/>
      <c r="D29" s="479"/>
      <c r="E29" s="479"/>
      <c r="F29" s="479"/>
      <c r="G29" s="479"/>
      <c r="H29" s="482">
        <v>1</v>
      </c>
      <c r="I29" s="482">
        <v>1</v>
      </c>
      <c r="J29" s="482">
        <v>1</v>
      </c>
      <c r="K29" s="482">
        <v>1</v>
      </c>
      <c r="L29" s="482">
        <v>1</v>
      </c>
      <c r="M29" s="482">
        <v>1</v>
      </c>
      <c r="N29" s="482">
        <v>1</v>
      </c>
      <c r="O29" s="482">
        <v>1</v>
      </c>
      <c r="P29" s="426" t="s">
        <v>605</v>
      </c>
    </row>
    <row r="30" spans="1:16" ht="15.75">
      <c r="A30" s="433"/>
      <c r="B30" s="478" t="str">
        <f>'[2]FromCP_FY23-Staffing Sheet'!$J$7</f>
        <v>Operations, Admin, APs</v>
      </c>
      <c r="C30" s="479"/>
      <c r="D30" s="479"/>
      <c r="E30" s="479"/>
      <c r="F30" s="479"/>
      <c r="G30" s="479"/>
      <c r="H30" s="482">
        <v>2</v>
      </c>
      <c r="I30" s="481">
        <f t="shared" ref="I30:L30" si="12">IFERROR(MROUND(I$7/I44,0.5),"")</f>
        <v>3.5</v>
      </c>
      <c r="J30" s="481">
        <f t="shared" si="12"/>
        <v>1.5</v>
      </c>
      <c r="K30" s="481">
        <f t="shared" si="12"/>
        <v>2.5</v>
      </c>
      <c r="L30" s="481">
        <f t="shared" si="12"/>
        <v>3.5</v>
      </c>
      <c r="M30" s="481">
        <f t="shared" si="11"/>
        <v>4</v>
      </c>
      <c r="N30" s="481">
        <f t="shared" si="11"/>
        <v>5</v>
      </c>
      <c r="O30" s="481">
        <f t="shared" si="11"/>
        <v>6</v>
      </c>
      <c r="P30" s="426" t="s">
        <v>606</v>
      </c>
    </row>
    <row r="31" spans="1:16" ht="15.75">
      <c r="A31" s="433"/>
      <c r="B31" s="483" t="str">
        <f>'[2]FromCP_FY23-Staffing Sheet'!$J$8</f>
        <v>Central - Exec</v>
      </c>
      <c r="C31" s="479"/>
      <c r="D31" s="479"/>
      <c r="E31" s="479"/>
      <c r="F31" s="479"/>
      <c r="G31" s="479"/>
      <c r="H31" s="484"/>
      <c r="I31" s="484"/>
      <c r="J31" s="484"/>
      <c r="K31" s="484"/>
      <c r="L31" s="484"/>
      <c r="M31" s="484"/>
      <c r="N31" s="484"/>
      <c r="O31" s="484"/>
      <c r="P31" s="426"/>
    </row>
    <row r="32" spans="1:16" ht="15.75">
      <c r="A32" s="433"/>
      <c r="B32" s="483" t="str">
        <f>'[2]FromCP_FY23-Staffing Sheet'!$J$9</f>
        <v>Cental - Academic</v>
      </c>
      <c r="C32" s="479"/>
      <c r="D32" s="479"/>
      <c r="E32" s="479"/>
      <c r="F32" s="479"/>
      <c r="G32" s="479"/>
      <c r="H32" s="484"/>
      <c r="I32" s="484"/>
      <c r="J32" s="484"/>
      <c r="K32" s="484"/>
      <c r="L32" s="484"/>
      <c r="M32" s="484"/>
      <c r="N32" s="484"/>
      <c r="O32" s="484"/>
      <c r="P32" s="426"/>
    </row>
    <row r="33" spans="1:16" ht="15.75">
      <c r="A33" s="433"/>
      <c r="B33" s="483" t="str">
        <f>'[2]FromCP_FY23-Staffing Sheet'!$J$10</f>
        <v>Central - Ops</v>
      </c>
      <c r="C33" s="479"/>
      <c r="D33" s="479"/>
      <c r="E33" s="479"/>
      <c r="F33" s="479"/>
      <c r="G33" s="479"/>
      <c r="H33" s="484"/>
      <c r="I33" s="484"/>
      <c r="J33" s="484"/>
      <c r="K33" s="484"/>
      <c r="L33" s="484"/>
      <c r="M33" s="484"/>
      <c r="N33" s="484"/>
      <c r="O33" s="484"/>
      <c r="P33" s="426"/>
    </row>
    <row r="34" spans="1:16" ht="15.75">
      <c r="A34" s="433"/>
      <c r="B34" s="483" t="str">
        <f>'[2]FromCP_FY23-Staffing Sheet'!$J$11</f>
        <v xml:space="preserve">Central - Admin </v>
      </c>
      <c r="C34" s="479"/>
      <c r="D34" s="479"/>
      <c r="E34" s="479"/>
      <c r="F34" s="479"/>
      <c r="G34" s="479"/>
      <c r="H34" s="484"/>
      <c r="I34" s="484"/>
      <c r="J34" s="484"/>
      <c r="K34" s="484"/>
      <c r="L34" s="484"/>
      <c r="M34" s="484"/>
      <c r="N34" s="484"/>
      <c r="O34" s="484"/>
      <c r="P34" s="426"/>
    </row>
    <row r="35" spans="1:16" ht="15.75">
      <c r="A35" s="433"/>
      <c r="B35" s="483" t="str">
        <f>'[2]FromCP_FY23-Staffing Sheet'!$J$12</f>
        <v>Central - Finance</v>
      </c>
      <c r="C35" s="479"/>
      <c r="D35" s="479"/>
      <c r="E35" s="479"/>
      <c r="F35" s="479"/>
      <c r="G35" s="479"/>
      <c r="H35" s="484"/>
      <c r="I35" s="484"/>
      <c r="J35" s="484"/>
      <c r="K35" s="484"/>
      <c r="L35" s="484"/>
      <c r="M35" s="484"/>
      <c r="N35" s="484"/>
      <c r="O35" s="484"/>
      <c r="P35" s="426"/>
    </row>
    <row r="36" spans="1:16" ht="16.5" thickBot="1">
      <c r="A36" s="433"/>
      <c r="B36" s="483" t="str">
        <f>'[2]FromCP_FY23-Staffing Sheet'!$J$13</f>
        <v xml:space="preserve">Central - Other Directors </v>
      </c>
      <c r="C36" s="479"/>
      <c r="D36" s="479"/>
      <c r="E36" s="479"/>
      <c r="F36" s="479"/>
      <c r="G36" s="479"/>
      <c r="H36" s="484"/>
      <c r="I36" s="484"/>
      <c r="J36" s="484"/>
      <c r="K36" s="484"/>
      <c r="L36" s="484"/>
      <c r="M36" s="484"/>
      <c r="N36" s="484"/>
      <c r="O36" s="484"/>
      <c r="P36" s="426"/>
    </row>
    <row r="37" spans="1:16" ht="15.75">
      <c r="A37" s="433"/>
      <c r="B37" s="485" t="s">
        <v>223</v>
      </c>
      <c r="C37" s="479"/>
      <c r="D37" s="479"/>
      <c r="E37" s="479"/>
      <c r="F37" s="479"/>
      <c r="G37" s="479"/>
      <c r="H37" s="486" t="e">
        <f t="shared" ref="H37:O37" si="13">SUM(H27:H36)</f>
        <v>#VALUE!</v>
      </c>
      <c r="I37" s="486">
        <f t="shared" si="13"/>
        <v>12.5</v>
      </c>
      <c r="J37" s="486">
        <f t="shared" si="13"/>
        <v>18</v>
      </c>
      <c r="K37" s="486">
        <f t="shared" si="13"/>
        <v>26.5</v>
      </c>
      <c r="L37" s="486">
        <f t="shared" si="13"/>
        <v>35</v>
      </c>
      <c r="M37" s="486">
        <f t="shared" si="13"/>
        <v>43.5</v>
      </c>
      <c r="N37" s="486">
        <f t="shared" si="13"/>
        <v>51.5</v>
      </c>
      <c r="O37" s="486">
        <f t="shared" si="13"/>
        <v>60</v>
      </c>
      <c r="P37" s="487"/>
    </row>
    <row r="38" spans="1:16">
      <c r="A38" s="433"/>
      <c r="B38" s="437"/>
      <c r="C38" s="433"/>
      <c r="D38" s="433"/>
      <c r="E38" s="433"/>
      <c r="F38" s="433"/>
      <c r="G38" s="433"/>
      <c r="H38" s="433"/>
      <c r="I38" s="488"/>
      <c r="J38" s="433"/>
      <c r="K38" s="433"/>
      <c r="L38" s="433"/>
      <c r="M38" s="433"/>
      <c r="N38" s="433"/>
      <c r="O38" s="433"/>
      <c r="P38" s="489"/>
    </row>
    <row r="39" spans="1:16">
      <c r="A39" s="433"/>
      <c r="B39" s="490" t="s">
        <v>607</v>
      </c>
      <c r="C39" s="491"/>
      <c r="D39" s="491"/>
      <c r="E39" s="491"/>
      <c r="F39" s="491"/>
      <c r="G39" s="491"/>
      <c r="H39" s="491"/>
      <c r="I39" s="491"/>
      <c r="J39" s="491"/>
      <c r="K39" s="491"/>
      <c r="L39" s="491"/>
      <c r="M39" s="491"/>
      <c r="N39" s="491"/>
      <c r="O39" s="491"/>
      <c r="P39" s="492"/>
    </row>
    <row r="40" spans="1:16">
      <c r="A40" s="433"/>
      <c r="B40" s="493" t="s">
        <v>608</v>
      </c>
      <c r="C40" s="477" t="str">
        <f>[2]INPUTS!C8</f>
        <v>FY18-19</v>
      </c>
      <c r="D40" s="477" t="str">
        <f>[2]INPUTS!D8</f>
        <v>FY19-20</v>
      </c>
      <c r="E40" s="477" t="str">
        <f>[2]INPUTS!E8</f>
        <v>FY20-21</v>
      </c>
      <c r="F40" s="477" t="str">
        <f>[2]INPUTS!F8</f>
        <v>FY21-22</v>
      </c>
      <c r="G40" s="477" t="str">
        <f>[2]INPUTS!G8</f>
        <v>FY22-23</v>
      </c>
      <c r="H40" s="477" t="str">
        <f>[2]INPUTS!H8</f>
        <v>FY23-24</v>
      </c>
      <c r="I40" s="477" t="str">
        <f>[2]INPUTS!I8</f>
        <v>FY24-25</v>
      </c>
      <c r="J40" s="477" t="str">
        <f>[2]INPUTS!J8</f>
        <v>FY25-26</v>
      </c>
      <c r="K40" s="477" t="str">
        <f>[2]INPUTS!K8</f>
        <v>FY26-27</v>
      </c>
      <c r="L40" s="477" t="str">
        <f>[2]INPUTS!L8</f>
        <v>FY27-28</v>
      </c>
      <c r="M40" s="477" t="str">
        <f>[2]INPUTS!M8</f>
        <v>FY28-29</v>
      </c>
      <c r="N40" s="477" t="str">
        <f>[2]INPUTS!N8</f>
        <v>FY29-30</v>
      </c>
      <c r="O40" s="477" t="str">
        <f>[2]INPUTS!O8</f>
        <v>FY30-31</v>
      </c>
      <c r="P40" s="443" t="s">
        <v>591</v>
      </c>
    </row>
    <row r="41" spans="1:16" ht="15.75">
      <c r="A41" s="433"/>
      <c r="B41" s="478" t="str">
        <f>'[2]FromCP_FY23-Staffing Sheet'!$J$4</f>
        <v xml:space="preserve">Lead Teacher </v>
      </c>
      <c r="C41" s="479"/>
      <c r="D41" s="479"/>
      <c r="E41" s="479"/>
      <c r="F41" s="479"/>
      <c r="G41" s="479"/>
      <c r="H41" s="494">
        <v>0</v>
      </c>
      <c r="I41" s="495">
        <v>15</v>
      </c>
      <c r="J41" s="496">
        <f>[2]STAFF_CP!I41</f>
        <v>16</v>
      </c>
      <c r="K41" s="497">
        <f t="shared" ref="K41:O42" si="14">J41</f>
        <v>16</v>
      </c>
      <c r="L41" s="497">
        <f t="shared" si="14"/>
        <v>16</v>
      </c>
      <c r="M41" s="497">
        <f t="shared" si="14"/>
        <v>16</v>
      </c>
      <c r="N41" s="497">
        <f t="shared" si="14"/>
        <v>16</v>
      </c>
      <c r="O41" s="497">
        <f t="shared" si="14"/>
        <v>16</v>
      </c>
      <c r="P41" s="498" t="s">
        <v>609</v>
      </c>
    </row>
    <row r="42" spans="1:16" ht="15.75">
      <c r="A42" s="433"/>
      <c r="B42" s="478" t="str">
        <f>'[2]FromCP_FY23-Staffing Sheet'!$J$5</f>
        <v>SPED, Specials, Supports</v>
      </c>
      <c r="C42" s="479"/>
      <c r="D42" s="479"/>
      <c r="E42" s="479"/>
      <c r="F42" s="479"/>
      <c r="G42" s="479"/>
      <c r="H42" s="494">
        <v>0</v>
      </c>
      <c r="I42" s="495">
        <v>105</v>
      </c>
      <c r="J42" s="496">
        <f>[2]STAFF_CP!I42</f>
        <v>80</v>
      </c>
      <c r="K42" s="497">
        <f t="shared" si="14"/>
        <v>80</v>
      </c>
      <c r="L42" s="497">
        <f t="shared" si="14"/>
        <v>80</v>
      </c>
      <c r="M42" s="497">
        <f t="shared" si="14"/>
        <v>80</v>
      </c>
      <c r="N42" s="497">
        <f t="shared" si="14"/>
        <v>80</v>
      </c>
      <c r="O42" s="497">
        <f t="shared" si="14"/>
        <v>80</v>
      </c>
      <c r="P42" s="498" t="s">
        <v>610</v>
      </c>
    </row>
    <row r="43" spans="1:16" ht="15.75">
      <c r="A43" s="433"/>
      <c r="B43" s="478" t="str">
        <f>'[2]FromCP_FY23-Staffing Sheet'!$J$6</f>
        <v xml:space="preserve">Principal </v>
      </c>
      <c r="C43" s="479"/>
      <c r="D43" s="479"/>
      <c r="E43" s="479"/>
      <c r="F43" s="479"/>
      <c r="G43" s="479"/>
      <c r="H43" s="494">
        <v>0</v>
      </c>
      <c r="I43" s="499">
        <v>0</v>
      </c>
      <c r="J43" s="499">
        <v>0</v>
      </c>
      <c r="K43" s="499">
        <v>0</v>
      </c>
      <c r="L43" s="499">
        <v>0</v>
      </c>
      <c r="M43" s="499">
        <v>0</v>
      </c>
      <c r="N43" s="499">
        <v>0</v>
      </c>
      <c r="O43" s="499">
        <v>0</v>
      </c>
      <c r="P43" s="498"/>
    </row>
    <row r="44" spans="1:16" ht="15.75">
      <c r="A44" s="433"/>
      <c r="B44" s="478" t="str">
        <f>'[2]FromCP_FY23-Staffing Sheet'!$J$7</f>
        <v>Operations, Admin, APs</v>
      </c>
      <c r="C44" s="479"/>
      <c r="D44" s="479"/>
      <c r="E44" s="479"/>
      <c r="F44" s="479"/>
      <c r="G44" s="479"/>
      <c r="H44" s="494">
        <v>0</v>
      </c>
      <c r="I44" s="495">
        <v>30</v>
      </c>
      <c r="J44" s="496">
        <f>[2]STAFF_CP!I44</f>
        <v>120</v>
      </c>
      <c r="K44" s="497">
        <f>J44</f>
        <v>120</v>
      </c>
      <c r="L44" s="497">
        <f>K44</f>
        <v>120</v>
      </c>
      <c r="M44" s="497">
        <f>L44</f>
        <v>120</v>
      </c>
      <c r="N44" s="497">
        <f>M44</f>
        <v>120</v>
      </c>
      <c r="O44" s="497">
        <f>N44</f>
        <v>120</v>
      </c>
      <c r="P44" s="498"/>
    </row>
    <row r="45" spans="1:16" ht="15.75">
      <c r="A45" s="433"/>
      <c r="B45" s="483" t="str">
        <f>'[2]FromCP_FY23-Staffing Sheet'!$J$8</f>
        <v>Central - Exec</v>
      </c>
      <c r="C45" s="479"/>
      <c r="D45" s="479"/>
      <c r="E45" s="479"/>
      <c r="F45" s="479"/>
      <c r="G45" s="479"/>
      <c r="H45" s="484"/>
      <c r="I45" s="484"/>
      <c r="J45" s="484"/>
      <c r="K45" s="484"/>
      <c r="L45" s="484"/>
      <c r="M45" s="484"/>
      <c r="N45" s="484"/>
      <c r="O45" s="484"/>
      <c r="P45" s="498"/>
    </row>
    <row r="46" spans="1:16" ht="15.75">
      <c r="A46" s="433"/>
      <c r="B46" s="483" t="str">
        <f>'[2]FromCP_FY23-Staffing Sheet'!$J$9</f>
        <v>Cental - Academic</v>
      </c>
      <c r="C46" s="479"/>
      <c r="D46" s="479"/>
      <c r="E46" s="479"/>
      <c r="F46" s="479"/>
      <c r="G46" s="479"/>
      <c r="H46" s="484"/>
      <c r="I46" s="484"/>
      <c r="J46" s="484"/>
      <c r="K46" s="484"/>
      <c r="L46" s="484"/>
      <c r="M46" s="484"/>
      <c r="N46" s="484"/>
      <c r="O46" s="484"/>
      <c r="P46" s="498"/>
    </row>
    <row r="47" spans="1:16" ht="15.75">
      <c r="A47" s="433"/>
      <c r="B47" s="483" t="str">
        <f>'[2]FromCP_FY23-Staffing Sheet'!$J$10</f>
        <v>Central - Ops</v>
      </c>
      <c r="C47" s="479"/>
      <c r="D47" s="479"/>
      <c r="E47" s="479"/>
      <c r="F47" s="479"/>
      <c r="G47" s="479"/>
      <c r="H47" s="484"/>
      <c r="I47" s="484"/>
      <c r="J47" s="484"/>
      <c r="K47" s="484"/>
      <c r="L47" s="484"/>
      <c r="M47" s="484"/>
      <c r="N47" s="484"/>
      <c r="O47" s="484"/>
      <c r="P47" s="498"/>
    </row>
    <row r="48" spans="1:16" ht="15.75">
      <c r="A48" s="433"/>
      <c r="B48" s="483" t="str">
        <f>'[2]FromCP_FY23-Staffing Sheet'!$J$11</f>
        <v xml:space="preserve">Central - Admin </v>
      </c>
      <c r="C48" s="479"/>
      <c r="D48" s="479"/>
      <c r="E48" s="479"/>
      <c r="F48" s="479"/>
      <c r="G48" s="479"/>
      <c r="H48" s="484"/>
      <c r="I48" s="484"/>
      <c r="J48" s="484"/>
      <c r="K48" s="484"/>
      <c r="L48" s="484"/>
      <c r="M48" s="484"/>
      <c r="N48" s="484"/>
      <c r="O48" s="484"/>
      <c r="P48" s="498"/>
    </row>
    <row r="49" spans="1:16" ht="15.75">
      <c r="A49" s="433"/>
      <c r="B49" s="483" t="str">
        <f>'[2]FromCP_FY23-Staffing Sheet'!$J$12</f>
        <v>Central - Finance</v>
      </c>
      <c r="C49" s="479"/>
      <c r="D49" s="479"/>
      <c r="E49" s="479"/>
      <c r="F49" s="479"/>
      <c r="G49" s="479"/>
      <c r="H49" s="484"/>
      <c r="I49" s="484"/>
      <c r="J49" s="484"/>
      <c r="K49" s="484"/>
      <c r="L49" s="484"/>
      <c r="M49" s="484"/>
      <c r="N49" s="484"/>
      <c r="O49" s="484"/>
      <c r="P49" s="498"/>
    </row>
    <row r="50" spans="1:16" ht="15.75">
      <c r="A50" s="433"/>
      <c r="B50" s="483" t="str">
        <f>'[2]FromCP_FY23-Staffing Sheet'!$J$13</f>
        <v xml:space="preserve">Central - Other Directors </v>
      </c>
      <c r="C50" s="479"/>
      <c r="D50" s="479"/>
      <c r="E50" s="479"/>
      <c r="F50" s="479"/>
      <c r="G50" s="479"/>
      <c r="H50" s="484"/>
      <c r="I50" s="484"/>
      <c r="J50" s="484"/>
      <c r="K50" s="484"/>
      <c r="L50" s="484"/>
      <c r="M50" s="484"/>
      <c r="N50" s="484"/>
      <c r="O50" s="484"/>
      <c r="P50" s="498"/>
    </row>
    <row r="51" spans="1:16">
      <c r="A51" s="433"/>
      <c r="B51" s="437"/>
      <c r="C51" s="433"/>
      <c r="D51" s="433"/>
      <c r="E51" s="433"/>
      <c r="F51" s="433"/>
      <c r="G51" s="433"/>
      <c r="H51" s="489"/>
      <c r="I51" s="489"/>
      <c r="P51" s="428"/>
    </row>
    <row r="52" spans="1:16">
      <c r="A52" s="433"/>
      <c r="B52" s="490" t="s">
        <v>611</v>
      </c>
      <c r="C52" s="491"/>
      <c r="D52" s="491"/>
      <c r="E52" s="491"/>
      <c r="F52" s="491"/>
      <c r="G52" s="491"/>
      <c r="H52" s="491"/>
      <c r="I52" s="491"/>
      <c r="J52" s="491"/>
      <c r="K52" s="491"/>
      <c r="L52" s="491"/>
      <c r="M52" s="491"/>
      <c r="N52" s="491"/>
      <c r="O52" s="491"/>
      <c r="P52" s="492"/>
    </row>
    <row r="53" spans="1:16">
      <c r="A53" s="433"/>
      <c r="B53" s="493" t="s">
        <v>608</v>
      </c>
      <c r="C53" s="477" t="str">
        <f>[2]INPUTS!C8</f>
        <v>FY18-19</v>
      </c>
      <c r="D53" s="477" t="str">
        <f>[2]INPUTS!D8</f>
        <v>FY19-20</v>
      </c>
      <c r="E53" s="477" t="str">
        <f>[2]INPUTS!E8</f>
        <v>FY20-21</v>
      </c>
      <c r="F53" s="477" t="str">
        <f>[2]INPUTS!F8</f>
        <v>FY21-22</v>
      </c>
      <c r="G53" s="477" t="str">
        <f>[2]INPUTS!G8</f>
        <v>FY22-23</v>
      </c>
      <c r="H53" s="477" t="str">
        <f>[2]INPUTS!H8</f>
        <v>FY23-24</v>
      </c>
      <c r="I53" s="477" t="str">
        <f>[2]INPUTS!I8</f>
        <v>FY24-25</v>
      </c>
      <c r="J53" s="477" t="str">
        <f>[2]INPUTS!J8</f>
        <v>FY25-26</v>
      </c>
      <c r="K53" s="477" t="str">
        <f>[2]INPUTS!K8</f>
        <v>FY26-27</v>
      </c>
      <c r="L53" s="477" t="str">
        <f>[2]INPUTS!L8</f>
        <v>FY27-28</v>
      </c>
      <c r="M53" s="477" t="str">
        <f>[2]INPUTS!M8</f>
        <v>FY28-29</v>
      </c>
      <c r="N53" s="477" t="str">
        <f>[2]INPUTS!N8</f>
        <v>FY29-30</v>
      </c>
      <c r="O53" s="477" t="str">
        <f>[2]INPUTS!O8</f>
        <v>FY30-31</v>
      </c>
      <c r="P53" s="443" t="s">
        <v>591</v>
      </c>
    </row>
    <row r="54" spans="1:16" ht="15.75">
      <c r="A54" s="433"/>
      <c r="B54" s="478" t="str">
        <f>'[2]FromCP_FY23-Staffing Sheet'!$J$4</f>
        <v xml:space="preserve">Lead Teacher </v>
      </c>
      <c r="C54" s="479"/>
      <c r="D54" s="479"/>
      <c r="E54" s="479"/>
      <c r="F54" s="479"/>
      <c r="G54" s="479"/>
      <c r="H54" s="500">
        <v>0</v>
      </c>
      <c r="I54" s="522">
        <f>[2]STAFF_CP!I54</f>
        <v>56856.06080322581</v>
      </c>
      <c r="J54" s="501">
        <f>I54*(1+[2]INPUTS!J52)</f>
        <v>58561.742627322586</v>
      </c>
      <c r="K54" s="501">
        <f>J54*(1+[2]INPUTS!K52)</f>
        <v>60318.594906142265</v>
      </c>
      <c r="L54" s="501">
        <f>K54*(1+[2]INPUTS!L52)</f>
        <v>62128.152753326533</v>
      </c>
      <c r="M54" s="501">
        <f>L54*(1+[2]INPUTS!M52)</f>
        <v>63991.997335926331</v>
      </c>
      <c r="N54" s="501">
        <f>M54*(1+[2]INPUTS!M52)</f>
        <v>65911.75725600413</v>
      </c>
      <c r="O54" s="501">
        <f>N54*(1+[2]INPUTS!O52)</f>
        <v>67889.109973684259</v>
      </c>
      <c r="P54" s="502" t="s">
        <v>612</v>
      </c>
    </row>
    <row r="55" spans="1:16" ht="15.75">
      <c r="A55" s="433"/>
      <c r="B55" s="478" t="str">
        <f>'[2]FromCP_FY23-Staffing Sheet'!$J$5</f>
        <v>SPED, Specials, Supports</v>
      </c>
      <c r="C55" s="479"/>
      <c r="D55" s="479"/>
      <c r="E55" s="479"/>
      <c r="F55" s="479"/>
      <c r="G55" s="479"/>
      <c r="H55" s="500">
        <v>0</v>
      </c>
      <c r="I55" s="522">
        <f>[2]STAFF_CP!I55</f>
        <v>56801.646900000007</v>
      </c>
      <c r="J55" s="501">
        <f>I55*(1+[2]INPUTS!J53)</f>
        <v>58505.696307000006</v>
      </c>
      <c r="K55" s="501">
        <f>J55*(1+[2]INPUTS!K53)</f>
        <v>60260.867196210005</v>
      </c>
      <c r="L55" s="501">
        <f>K55*(1+[2]INPUTS!L53)</f>
        <v>62068.69321209631</v>
      </c>
      <c r="M55" s="501">
        <f>L55*(1+[2]INPUTS!M53)</f>
        <v>63930.754008459204</v>
      </c>
      <c r="N55" s="501">
        <f>M55*(1+[2]INPUTS!M53)</f>
        <v>65848.676628712987</v>
      </c>
      <c r="O55" s="501">
        <f>N55*(1+[2]INPUTS!O53)</f>
        <v>67824.136927574378</v>
      </c>
      <c r="P55" s="502" t="s">
        <v>612</v>
      </c>
    </row>
    <row r="56" spans="1:16" ht="15.75">
      <c r="A56" s="433"/>
      <c r="B56" s="478" t="str">
        <f>'[2]FromCP_FY23-Staffing Sheet'!$J$6</f>
        <v xml:space="preserve">Principal </v>
      </c>
      <c r="C56" s="479"/>
      <c r="D56" s="479"/>
      <c r="E56" s="479"/>
      <c r="F56" s="479"/>
      <c r="G56" s="479"/>
      <c r="H56" s="522">
        <f>[2]STAFF_CP!H71</f>
        <v>109899.97</v>
      </c>
      <c r="I56" s="501">
        <f>H56*(1+[2]INPUTS!I54)</f>
        <v>113196.9691</v>
      </c>
      <c r="J56" s="501">
        <f>I56*(1+[2]INPUTS!J54)</f>
        <v>116592.878173</v>
      </c>
      <c r="K56" s="501">
        <f>J56*(1+[2]INPUTS!K54)</f>
        <v>120090.66451819001</v>
      </c>
      <c r="L56" s="501">
        <f>K56*(1+[2]INPUTS!L54)</f>
        <v>123693.38445373571</v>
      </c>
      <c r="M56" s="501">
        <f>L56*(1+[2]INPUTS!M54)</f>
        <v>127404.18598734778</v>
      </c>
      <c r="N56" s="501">
        <f>M56*(1+[2]INPUTS!M54)</f>
        <v>131226.31156696822</v>
      </c>
      <c r="O56" s="501">
        <f>N56*(1+[2]INPUTS!O54)</f>
        <v>135163.10091397728</v>
      </c>
      <c r="P56" s="502" t="s">
        <v>612</v>
      </c>
    </row>
    <row r="57" spans="1:16" ht="15.75">
      <c r="A57" s="433"/>
      <c r="B57" s="478" t="str">
        <f>'[2]FromCP_FY23-Staffing Sheet'!$J$7</f>
        <v>Operations, Admin, APs</v>
      </c>
      <c r="C57" s="479"/>
      <c r="D57" s="479"/>
      <c r="E57" s="479"/>
      <c r="F57" s="479"/>
      <c r="G57" s="479"/>
      <c r="H57" s="522">
        <f>[2]STAFF_CP!H57</f>
        <v>61310.406666666662</v>
      </c>
      <c r="I57" s="501">
        <f>H57*(1+[2]INPUTS!I55)</f>
        <v>63149.718866666663</v>
      </c>
      <c r="J57" s="501">
        <f>I57*(1+[2]INPUTS!J55)</f>
        <v>65044.210432666667</v>
      </c>
      <c r="K57" s="501">
        <f>J57*(1+[2]INPUTS!K55)</f>
        <v>66995.536745646663</v>
      </c>
      <c r="L57" s="501">
        <f>K57*(1+[2]INPUTS!L55)</f>
        <v>69005.402848016063</v>
      </c>
      <c r="M57" s="501">
        <f>L57*(1+[2]INPUTS!M55)</f>
        <v>71075.564933456553</v>
      </c>
      <c r="N57" s="501">
        <f>M57*(1+[2]INPUTS!M55)</f>
        <v>73207.831881460253</v>
      </c>
      <c r="O57" s="501">
        <f>N57*(1+[2]INPUTS!O55)</f>
        <v>75404.066837904058</v>
      </c>
      <c r="P57" s="502" t="s">
        <v>612</v>
      </c>
    </row>
    <row r="58" spans="1:16" ht="15.75">
      <c r="A58" s="433" t="s">
        <v>518</v>
      </c>
      <c r="B58" s="483" t="str">
        <f>'[2]FromCP_FY23-Staffing Sheet'!$J$8</f>
        <v>Central - Exec</v>
      </c>
      <c r="C58" s="479"/>
      <c r="D58" s="479"/>
      <c r="E58" s="479"/>
      <c r="F58" s="479"/>
      <c r="G58" s="479"/>
      <c r="H58" s="484"/>
      <c r="I58" s="484"/>
      <c r="J58" s="484"/>
      <c r="K58" s="484"/>
      <c r="L58" s="484"/>
      <c r="M58" s="484"/>
      <c r="N58" s="484"/>
      <c r="O58" s="484"/>
      <c r="P58" s="471"/>
    </row>
    <row r="59" spans="1:16" ht="15.75">
      <c r="A59" s="433"/>
      <c r="B59" s="483" t="str">
        <f>'[2]FromCP_FY23-Staffing Sheet'!$J$9</f>
        <v>Cental - Academic</v>
      </c>
      <c r="C59" s="479"/>
      <c r="D59" s="479"/>
      <c r="E59" s="479"/>
      <c r="F59" s="479"/>
      <c r="G59" s="479"/>
      <c r="H59" s="484"/>
      <c r="I59" s="484"/>
      <c r="J59" s="484"/>
      <c r="K59" s="484"/>
      <c r="L59" s="484"/>
      <c r="M59" s="484"/>
      <c r="N59" s="484"/>
      <c r="O59" s="484"/>
      <c r="P59" s="471"/>
    </row>
    <row r="60" spans="1:16" ht="15.75">
      <c r="A60" s="433"/>
      <c r="B60" s="483" t="str">
        <f>'[2]FromCP_FY23-Staffing Sheet'!$J$10</f>
        <v>Central - Ops</v>
      </c>
      <c r="C60" s="479"/>
      <c r="D60" s="479"/>
      <c r="E60" s="479"/>
      <c r="F60" s="479"/>
      <c r="G60" s="479"/>
      <c r="H60" s="484"/>
      <c r="I60" s="484"/>
      <c r="J60" s="484"/>
      <c r="K60" s="484"/>
      <c r="L60" s="484"/>
      <c r="M60" s="484"/>
      <c r="N60" s="484"/>
      <c r="O60" s="484"/>
      <c r="P60" s="471"/>
    </row>
    <row r="61" spans="1:16" ht="15.75">
      <c r="A61" s="433"/>
      <c r="B61" s="483" t="str">
        <f>'[2]FromCP_FY23-Staffing Sheet'!$J$11</f>
        <v xml:space="preserve">Central - Admin </v>
      </c>
      <c r="C61" s="479"/>
      <c r="D61" s="479"/>
      <c r="E61" s="479"/>
      <c r="F61" s="479"/>
      <c r="G61" s="479"/>
      <c r="H61" s="484"/>
      <c r="I61" s="484"/>
      <c r="J61" s="484"/>
      <c r="K61" s="484"/>
      <c r="L61" s="484"/>
      <c r="M61" s="484"/>
      <c r="N61" s="484"/>
      <c r="O61" s="484"/>
      <c r="P61" s="471"/>
    </row>
    <row r="62" spans="1:16" ht="15.75">
      <c r="A62" s="433"/>
      <c r="B62" s="483" t="str">
        <f>'[2]FromCP_FY23-Staffing Sheet'!$J$12</f>
        <v>Central - Finance</v>
      </c>
      <c r="C62" s="479"/>
      <c r="D62" s="479"/>
      <c r="E62" s="479"/>
      <c r="F62" s="479"/>
      <c r="G62" s="479"/>
      <c r="H62" s="484"/>
      <c r="I62" s="484"/>
      <c r="J62" s="484"/>
      <c r="K62" s="484"/>
      <c r="L62" s="484"/>
      <c r="M62" s="484"/>
      <c r="N62" s="484"/>
      <c r="O62" s="484"/>
      <c r="P62" s="471"/>
    </row>
    <row r="63" spans="1:16" ht="16.5" thickBot="1">
      <c r="A63" s="433"/>
      <c r="B63" s="483" t="str">
        <f>'[2]FromCP_FY23-Staffing Sheet'!$J$13</f>
        <v xml:space="preserve">Central - Other Directors </v>
      </c>
      <c r="C63" s="479"/>
      <c r="D63" s="479"/>
      <c r="E63" s="479"/>
      <c r="F63" s="479"/>
      <c r="G63" s="479"/>
      <c r="H63" s="484"/>
      <c r="I63" s="484"/>
      <c r="J63" s="484"/>
      <c r="K63" s="484"/>
      <c r="L63" s="484"/>
      <c r="M63" s="484"/>
      <c r="N63" s="484"/>
      <c r="O63" s="484"/>
      <c r="P63" s="471"/>
    </row>
    <row r="64" spans="1:16" ht="15.75">
      <c r="A64" s="433"/>
      <c r="B64" s="503" t="s">
        <v>613</v>
      </c>
      <c r="C64" s="479"/>
      <c r="D64" s="479"/>
      <c r="E64" s="479"/>
      <c r="F64" s="479"/>
      <c r="G64" s="479"/>
      <c r="H64" s="479"/>
      <c r="I64" s="504">
        <f t="shared" ref="I64:O64" si="15">IFERROR(I86/I37,0)</f>
        <v>66945.572428565065</v>
      </c>
      <c r="J64" s="504">
        <f t="shared" si="15"/>
        <v>66142.483857463827</v>
      </c>
      <c r="K64" s="504">
        <f t="shared" si="15"/>
        <v>67019.699075859869</v>
      </c>
      <c r="L64" s="504">
        <f t="shared" si="15"/>
        <v>68390.757978723384</v>
      </c>
      <c r="M64" s="504">
        <f t="shared" si="15"/>
        <v>69916.327851167851</v>
      </c>
      <c r="N64" s="504">
        <f t="shared" si="15"/>
        <v>71703.53910575746</v>
      </c>
      <c r="O64" s="504">
        <f t="shared" si="15"/>
        <v>73576.46070161993</v>
      </c>
      <c r="P64" s="471"/>
    </row>
    <row r="65" spans="1:16">
      <c r="A65" s="433"/>
      <c r="B65" s="437"/>
      <c r="C65" s="437"/>
      <c r="D65" s="437"/>
      <c r="E65" s="505"/>
      <c r="F65" s="505"/>
      <c r="G65" s="505"/>
      <c r="H65" s="505"/>
      <c r="I65" s="505"/>
      <c r="J65" s="505"/>
      <c r="K65" s="505"/>
      <c r="L65" s="433"/>
      <c r="M65" s="433"/>
      <c r="N65" s="433"/>
      <c r="O65" s="433"/>
      <c r="P65" s="506"/>
    </row>
    <row r="66" spans="1:16">
      <c r="A66" s="433"/>
      <c r="B66" s="437"/>
      <c r="C66" s="507"/>
      <c r="D66" s="507"/>
      <c r="E66" s="507"/>
      <c r="F66" s="507"/>
      <c r="G66" s="507"/>
      <c r="H66" s="507"/>
      <c r="I66" s="507"/>
      <c r="J66" s="507"/>
      <c r="K66" s="507"/>
      <c r="L66" s="507"/>
      <c r="M66" s="507"/>
      <c r="N66" s="507"/>
      <c r="O66" s="507"/>
      <c r="P66" s="433"/>
    </row>
    <row r="67" spans="1:16">
      <c r="A67" s="433"/>
      <c r="B67" s="490" t="s">
        <v>614</v>
      </c>
      <c r="C67" s="491"/>
      <c r="D67" s="491"/>
      <c r="E67" s="491"/>
      <c r="F67" s="491"/>
      <c r="G67" s="491"/>
      <c r="H67" s="491"/>
      <c r="I67" s="491"/>
      <c r="J67" s="491"/>
      <c r="K67" s="491"/>
      <c r="L67" s="491"/>
      <c r="M67" s="491"/>
      <c r="N67" s="491"/>
      <c r="O67" s="491"/>
      <c r="P67" s="492"/>
    </row>
    <row r="68" spans="1:16">
      <c r="A68" s="433"/>
      <c r="B68" s="493" t="s">
        <v>608</v>
      </c>
      <c r="C68" s="477" t="str">
        <f>[2]INPUTS!C8</f>
        <v>FY18-19</v>
      </c>
      <c r="D68" s="477" t="str">
        <f>[2]INPUTS!D8</f>
        <v>FY19-20</v>
      </c>
      <c r="E68" s="477" t="str">
        <f>[2]INPUTS!E8</f>
        <v>FY20-21</v>
      </c>
      <c r="F68" s="477" t="str">
        <f>[2]INPUTS!F8</f>
        <v>FY21-22</v>
      </c>
      <c r="G68" s="477" t="str">
        <f>[2]INPUTS!G8</f>
        <v>FY22-23</v>
      </c>
      <c r="H68" s="477" t="str">
        <f>[2]INPUTS!H8</f>
        <v>FY23-24</v>
      </c>
      <c r="I68" s="477" t="str">
        <f>[2]INPUTS!I8</f>
        <v>FY24-25</v>
      </c>
      <c r="J68" s="477" t="str">
        <f>[2]INPUTS!J8</f>
        <v>FY25-26</v>
      </c>
      <c r="K68" s="477" t="str">
        <f>[2]INPUTS!K8</f>
        <v>FY26-27</v>
      </c>
      <c r="L68" s="477" t="str">
        <f>[2]INPUTS!L8</f>
        <v>FY27-28</v>
      </c>
      <c r="M68" s="477" t="str">
        <f>[2]INPUTS!M8</f>
        <v>FY28-29</v>
      </c>
      <c r="N68" s="477" t="str">
        <f>[2]INPUTS!N8</f>
        <v>FY29-30</v>
      </c>
      <c r="O68" s="477" t="str">
        <f>[2]INPUTS!O8</f>
        <v>FY30-31</v>
      </c>
      <c r="P68" s="443" t="s">
        <v>591</v>
      </c>
    </row>
    <row r="69" spans="1:16" ht="15.75">
      <c r="A69" s="433"/>
      <c r="B69" s="508" t="str">
        <f>[2]Aft_Staffing_FY23!$I$4</f>
        <v xml:space="preserve">Lead Teacher </v>
      </c>
      <c r="C69" s="479"/>
      <c r="D69" s="479"/>
      <c r="E69" s="479"/>
      <c r="F69" s="479"/>
      <c r="G69" s="479"/>
      <c r="H69" s="500" t="e">
        <f>SUMIFS([2]ToBeDeletedstaffing!$I:$I,[2]ToBeDeletedstaffing!$C:$C,$B69,[2]ToBeDeletedstaffing!$A:$A,$A$2)</f>
        <v>#VALUE!</v>
      </c>
      <c r="I69" s="501">
        <f>IFERROR(I54*I27,0)</f>
        <v>397992.42562258069</v>
      </c>
      <c r="J69" s="501">
        <f t="shared" ref="J69:O69" si="16">IFERROR(J54*J27,0)</f>
        <v>761302.6541551936</v>
      </c>
      <c r="K69" s="501">
        <f t="shared" si="16"/>
        <v>1146053.303216703</v>
      </c>
      <c r="L69" s="501">
        <f t="shared" si="16"/>
        <v>1584267.8952098265</v>
      </c>
      <c r="M69" s="501">
        <f t="shared" si="16"/>
        <v>2047743.9147496426</v>
      </c>
      <c r="N69" s="501">
        <f t="shared" si="16"/>
        <v>2504646.7757281568</v>
      </c>
      <c r="O69" s="501">
        <f t="shared" si="16"/>
        <v>2987120.8388421074</v>
      </c>
      <c r="P69" s="471"/>
    </row>
    <row r="70" spans="1:16" ht="15.75">
      <c r="A70" s="433"/>
      <c r="B70" s="508" t="str">
        <f>[2]Aft_Staffing_FY23!$I$5</f>
        <v>SPED, Specials, Supports</v>
      </c>
      <c r="C70" s="479"/>
      <c r="D70" s="479"/>
      <c r="E70" s="479"/>
      <c r="F70" s="479"/>
      <c r="G70" s="479"/>
      <c r="H70" s="500" t="e">
        <f>SUMIFS([2]ToBeDeletedstaffing!$I:$I,[2]ToBeDeletedstaffing!$C:$C,$B70,[2]ToBeDeletedstaffing!$A:$A,$A$2)</f>
        <v>#VALUE!</v>
      </c>
      <c r="I70" s="501">
        <f t="shared" ref="H70:O72" si="17">IFERROR(I55*I28,0)</f>
        <v>56801.646900000007</v>
      </c>
      <c r="J70" s="501">
        <f t="shared" si="17"/>
        <v>146264.24076750001</v>
      </c>
      <c r="K70" s="501">
        <f t="shared" si="17"/>
        <v>241043.46878484002</v>
      </c>
      <c r="L70" s="501">
        <f t="shared" si="17"/>
        <v>310343.46606048156</v>
      </c>
      <c r="M70" s="501">
        <f t="shared" si="17"/>
        <v>415549.90105498483</v>
      </c>
      <c r="N70" s="501">
        <f t="shared" si="17"/>
        <v>493865.07471534738</v>
      </c>
      <c r="O70" s="501">
        <f t="shared" si="17"/>
        <v>610417.23234816943</v>
      </c>
      <c r="P70" s="471"/>
    </row>
    <row r="71" spans="1:16" ht="15.75">
      <c r="A71" s="433"/>
      <c r="B71" s="508" t="str">
        <f>[2]Aft_Staffing_FY23!$I$6</f>
        <v xml:space="preserve">Principal </v>
      </c>
      <c r="C71" s="479"/>
      <c r="D71" s="479"/>
      <c r="E71" s="479"/>
      <c r="F71" s="479"/>
      <c r="G71" s="479"/>
      <c r="H71" s="501">
        <f t="shared" si="17"/>
        <v>109899.97</v>
      </c>
      <c r="I71" s="501">
        <f t="shared" si="17"/>
        <v>113196.9691</v>
      </c>
      <c r="J71" s="501">
        <f t="shared" si="17"/>
        <v>116592.878173</v>
      </c>
      <c r="K71" s="501">
        <f t="shared" si="17"/>
        <v>120090.66451819001</v>
      </c>
      <c r="L71" s="501">
        <f t="shared" si="17"/>
        <v>123693.38445373571</v>
      </c>
      <c r="M71" s="501">
        <f t="shared" si="17"/>
        <v>127404.18598734778</v>
      </c>
      <c r="N71" s="501">
        <f t="shared" si="17"/>
        <v>131226.31156696822</v>
      </c>
      <c r="O71" s="501">
        <f t="shared" si="17"/>
        <v>135163.10091397728</v>
      </c>
      <c r="P71" s="471"/>
    </row>
    <row r="72" spans="1:16" ht="15.75">
      <c r="A72" s="433"/>
      <c r="B72" s="508" t="str">
        <f>[2]Aft_Staffing_FY23!$I$7</f>
        <v>Operations, Admin, APs</v>
      </c>
      <c r="C72" s="479"/>
      <c r="D72" s="479"/>
      <c r="E72" s="479"/>
      <c r="F72" s="479"/>
      <c r="G72" s="479"/>
      <c r="H72" s="501">
        <f t="shared" si="17"/>
        <v>122620.81333333332</v>
      </c>
      <c r="I72" s="501">
        <f t="shared" si="17"/>
        <v>221024.01603333332</v>
      </c>
      <c r="J72" s="501">
        <f t="shared" si="17"/>
        <v>97566.315648999996</v>
      </c>
      <c r="K72" s="501">
        <f t="shared" si="17"/>
        <v>167488.84186411666</v>
      </c>
      <c r="L72" s="501">
        <f t="shared" si="17"/>
        <v>241518.90996805622</v>
      </c>
      <c r="M72" s="501">
        <f t="shared" si="17"/>
        <v>284302.25973382621</v>
      </c>
      <c r="N72" s="501">
        <f t="shared" si="17"/>
        <v>366039.15940730128</v>
      </c>
      <c r="O72" s="501">
        <f t="shared" si="17"/>
        <v>452424.40102742438</v>
      </c>
      <c r="P72" s="471"/>
    </row>
    <row r="73" spans="1:16" ht="15.75">
      <c r="A73" s="433"/>
      <c r="B73" s="483" t="str">
        <f>[2]Aft_Staffing_FY23!$I$8</f>
        <v>Central - Exec</v>
      </c>
      <c r="C73" s="479"/>
      <c r="D73" s="479"/>
      <c r="E73" s="479"/>
      <c r="F73" s="479"/>
      <c r="G73" s="479"/>
      <c r="H73" s="484"/>
      <c r="I73" s="484"/>
      <c r="J73" s="484"/>
      <c r="K73" s="484"/>
      <c r="L73" s="484"/>
      <c r="M73" s="484"/>
      <c r="N73" s="484"/>
      <c r="O73" s="484"/>
      <c r="P73" s="471"/>
    </row>
    <row r="74" spans="1:16" ht="15.75">
      <c r="A74" s="433"/>
      <c r="B74" s="483" t="str">
        <f>[2]Aft_Staffing_FY23!$I$9</f>
        <v>Cental - Academic</v>
      </c>
      <c r="C74" s="479"/>
      <c r="D74" s="479"/>
      <c r="E74" s="479"/>
      <c r="F74" s="479"/>
      <c r="G74" s="479"/>
      <c r="H74" s="484"/>
      <c r="I74" s="484"/>
      <c r="J74" s="484"/>
      <c r="K74" s="484"/>
      <c r="L74" s="484"/>
      <c r="M74" s="484"/>
      <c r="N74" s="484"/>
      <c r="O74" s="484"/>
      <c r="P74" s="471"/>
    </row>
    <row r="75" spans="1:16" ht="15.75">
      <c r="A75" s="433"/>
      <c r="B75" s="483" t="str">
        <f>[2]Aft_Staffing_FY23!$I$10</f>
        <v>Central - Ops</v>
      </c>
      <c r="C75" s="479"/>
      <c r="D75" s="479"/>
      <c r="E75" s="479"/>
      <c r="F75" s="479"/>
      <c r="G75" s="479"/>
      <c r="H75" s="484"/>
      <c r="I75" s="484"/>
      <c r="J75" s="484"/>
      <c r="K75" s="484"/>
      <c r="L75" s="484"/>
      <c r="M75" s="484"/>
      <c r="N75" s="484"/>
      <c r="O75" s="484"/>
      <c r="P75" s="471"/>
    </row>
    <row r="76" spans="1:16" ht="15.75">
      <c r="A76" s="433"/>
      <c r="B76" s="483" t="str">
        <f>[2]Aft_Staffing_FY23!$I$11</f>
        <v xml:space="preserve">Central - Admin </v>
      </c>
      <c r="C76" s="479"/>
      <c r="D76" s="479"/>
      <c r="E76" s="479"/>
      <c r="F76" s="479"/>
      <c r="G76" s="479"/>
      <c r="H76" s="484"/>
      <c r="I76" s="484"/>
      <c r="J76" s="484"/>
      <c r="K76" s="484"/>
      <c r="L76" s="484"/>
      <c r="M76" s="484"/>
      <c r="N76" s="484"/>
      <c r="O76" s="484"/>
      <c r="P76" s="471"/>
    </row>
    <row r="77" spans="1:16" ht="15.75">
      <c r="A77" s="433"/>
      <c r="B77" s="483" t="str">
        <f>[2]Aft_Staffing_FY23!$I$12</f>
        <v>Central - Finance</v>
      </c>
      <c r="C77" s="479"/>
      <c r="D77" s="479"/>
      <c r="E77" s="479"/>
      <c r="F77" s="479"/>
      <c r="G77" s="479"/>
      <c r="H77" s="484"/>
      <c r="I77" s="484"/>
      <c r="J77" s="484"/>
      <c r="K77" s="484"/>
      <c r="L77" s="484"/>
      <c r="M77" s="484"/>
      <c r="N77" s="484"/>
      <c r="O77" s="484"/>
      <c r="P77" s="471"/>
    </row>
    <row r="78" spans="1:16" ht="15.75">
      <c r="A78" s="433"/>
      <c r="B78" s="483" t="str">
        <f>[2]Aft_Staffing_FY23!$I$13</f>
        <v xml:space="preserve">Central - Other Directors </v>
      </c>
      <c r="C78" s="479"/>
      <c r="D78" s="479"/>
      <c r="E78" s="479"/>
      <c r="F78" s="479"/>
      <c r="G78" s="479"/>
      <c r="H78" s="484"/>
      <c r="I78" s="484"/>
      <c r="J78" s="484"/>
      <c r="K78" s="484"/>
      <c r="L78" s="484"/>
      <c r="M78" s="484"/>
      <c r="N78" s="484"/>
      <c r="O78" s="484"/>
      <c r="P78" s="471"/>
    </row>
    <row r="79" spans="1:16" ht="15.75">
      <c r="A79" s="433"/>
      <c r="B79" s="509" t="s">
        <v>615</v>
      </c>
      <c r="C79" s="479"/>
      <c r="D79" s="479"/>
      <c r="E79" s="479"/>
      <c r="F79" s="479"/>
      <c r="G79" s="479"/>
      <c r="H79" s="510" t="e">
        <f t="shared" ref="H79:O79" si="18">SUM(H69:H78)</f>
        <v>#VALUE!</v>
      </c>
      <c r="I79" s="510">
        <f t="shared" si="18"/>
        <v>789015.05765591399</v>
      </c>
      <c r="J79" s="510">
        <f t="shared" si="18"/>
        <v>1121726.0887446937</v>
      </c>
      <c r="K79" s="510">
        <f t="shared" si="18"/>
        <v>1674676.2783838499</v>
      </c>
      <c r="L79" s="510">
        <f t="shared" si="18"/>
        <v>2259823.6556921001</v>
      </c>
      <c r="M79" s="510">
        <f t="shared" si="18"/>
        <v>2875000.2615258014</v>
      </c>
      <c r="N79" s="510">
        <f t="shared" si="18"/>
        <v>3495777.3214177736</v>
      </c>
      <c r="O79" s="510">
        <f t="shared" si="18"/>
        <v>4185125.5731316786</v>
      </c>
      <c r="P79" s="471"/>
    </row>
    <row r="80" spans="1:16" ht="15.75">
      <c r="A80" s="433" t="s">
        <v>518</v>
      </c>
      <c r="B80" s="511"/>
      <c r="C80" s="479"/>
      <c r="D80" s="479"/>
      <c r="E80" s="479"/>
      <c r="F80" s="479"/>
      <c r="G80" s="479"/>
      <c r="H80" s="501"/>
      <c r="I80" s="512"/>
      <c r="J80" s="512"/>
      <c r="K80" s="512"/>
      <c r="L80" s="512"/>
      <c r="M80" s="512"/>
      <c r="N80" s="512"/>
      <c r="O80" s="512"/>
      <c r="P80" s="471"/>
    </row>
    <row r="81" spans="1:17" ht="15.75">
      <c r="A81" s="433"/>
      <c r="B81" s="478" t="s">
        <v>329</v>
      </c>
      <c r="C81" s="479"/>
      <c r="D81" s="479"/>
      <c r="E81" s="479"/>
      <c r="F81" s="479"/>
      <c r="G81" s="479"/>
      <c r="H81" s="501">
        <v>0</v>
      </c>
      <c r="I81" s="501">
        <f>[2]INPUTS!I64*I$37</f>
        <v>26712.643678160919</v>
      </c>
      <c r="J81" s="501">
        <f>[2]INPUTS!J64*J$37</f>
        <v>38466.206896551725</v>
      </c>
      <c r="K81" s="501">
        <f>[2]INPUTS!K64*K$37</f>
        <v>56630.80459770115</v>
      </c>
      <c r="L81" s="501">
        <f>[2]INPUTS!L64*L$37</f>
        <v>74795.402298850575</v>
      </c>
      <c r="M81" s="501">
        <f>[2]INPUTS!M64*M$37</f>
        <v>92960</v>
      </c>
      <c r="N81" s="501">
        <f>[2]INPUTS!N64*N$37</f>
        <v>110056.09195402298</v>
      </c>
      <c r="O81" s="501">
        <f>[2]INPUTS!O64*O$37</f>
        <v>128220.68965517241</v>
      </c>
      <c r="P81" s="471" t="s">
        <v>616</v>
      </c>
    </row>
    <row r="82" spans="1:17" ht="15.75">
      <c r="A82" s="433"/>
      <c r="B82" s="478" t="s">
        <v>617</v>
      </c>
      <c r="C82" s="479"/>
      <c r="D82" s="479"/>
      <c r="E82" s="479"/>
      <c r="F82" s="479"/>
      <c r="G82" s="479"/>
      <c r="H82" s="501" t="e">
        <f>[2]INPUTS!H65*H$37</f>
        <v>#VALUE!</v>
      </c>
      <c r="I82" s="501">
        <f>[2]INPUTS!I65*I$37</f>
        <v>9985.6321839080465</v>
      </c>
      <c r="J82" s="501">
        <f>[2]INPUTS!J65*J$37</f>
        <v>14379.310344827587</v>
      </c>
      <c r="K82" s="501">
        <f>[2]INPUTS!K65*K$37</f>
        <v>21169.54022988506</v>
      </c>
      <c r="L82" s="501">
        <f>[2]INPUTS!L65*L$37</f>
        <v>27959.77011494253</v>
      </c>
      <c r="M82" s="501">
        <f>[2]INPUTS!M65*M$37</f>
        <v>34750</v>
      </c>
      <c r="N82" s="501">
        <f>[2]INPUTS!N65*N$37</f>
        <v>41140.80459770115</v>
      </c>
      <c r="O82" s="501">
        <f>[2]INPUTS!O65*O$37</f>
        <v>47931.034482758623</v>
      </c>
      <c r="P82" s="471"/>
    </row>
    <row r="83" spans="1:17" ht="15.75">
      <c r="A83" s="433"/>
      <c r="B83" s="513" t="s">
        <v>331</v>
      </c>
      <c r="C83" s="479"/>
      <c r="D83" s="479"/>
      <c r="E83" s="479"/>
      <c r="F83" s="479"/>
      <c r="G83" s="479"/>
      <c r="H83" s="514" t="e">
        <f>[2]INPUTS!H66*H$37</f>
        <v>#VALUE!</v>
      </c>
      <c r="I83" s="514">
        <f>[2]INPUTS!I66*I$37</f>
        <v>11106.32183908046</v>
      </c>
      <c r="J83" s="514">
        <f>[2]INPUTS!J66*J$37</f>
        <v>15993.103448275862</v>
      </c>
      <c r="K83" s="514">
        <f>[2]INPUTS!K66*K$37</f>
        <v>23545.402298850575</v>
      </c>
      <c r="L83" s="514">
        <f>[2]INPUTS!L66*L$37</f>
        <v>31097.701149425287</v>
      </c>
      <c r="M83" s="514">
        <f>[2]INPUTS!M66*M$37</f>
        <v>38650</v>
      </c>
      <c r="N83" s="514">
        <f>[2]INPUTS!N66*N$37</f>
        <v>45758.04597701149</v>
      </c>
      <c r="O83" s="514">
        <f>[2]INPUTS!O66*O$37</f>
        <v>53310.344827586203</v>
      </c>
      <c r="P83" s="471"/>
    </row>
    <row r="84" spans="1:17" ht="15.75">
      <c r="A84" s="433"/>
      <c r="B84" s="509" t="s">
        <v>618</v>
      </c>
      <c r="C84" s="479"/>
      <c r="D84" s="479"/>
      <c r="E84" s="479"/>
      <c r="F84" s="479"/>
      <c r="G84" s="479"/>
      <c r="H84" s="515" t="e">
        <f t="shared" ref="H84:N84" si="19">SUM(H81:H83)</f>
        <v>#VALUE!</v>
      </c>
      <c r="I84" s="515">
        <f t="shared" si="19"/>
        <v>47804.597701149425</v>
      </c>
      <c r="J84" s="515">
        <f t="shared" si="19"/>
        <v>68838.620689655174</v>
      </c>
      <c r="K84" s="515">
        <f t="shared" si="19"/>
        <v>101345.74712643678</v>
      </c>
      <c r="L84" s="515">
        <f t="shared" si="19"/>
        <v>133852.8735632184</v>
      </c>
      <c r="M84" s="515">
        <f t="shared" si="19"/>
        <v>166360</v>
      </c>
      <c r="N84" s="515">
        <f t="shared" si="19"/>
        <v>196954.94252873561</v>
      </c>
      <c r="O84" s="515">
        <f t="shared" ref="O84" si="20">SUM(O81:O83)</f>
        <v>229462.06896551722</v>
      </c>
      <c r="P84" s="471"/>
    </row>
    <row r="85" spans="1:17" ht="16.5" thickBot="1">
      <c r="A85" s="433"/>
      <c r="B85" s="516"/>
      <c r="C85" s="479"/>
      <c r="D85" s="479"/>
      <c r="E85" s="479"/>
      <c r="F85" s="479"/>
      <c r="G85" s="479"/>
      <c r="H85" s="501"/>
      <c r="I85" s="512"/>
      <c r="J85" s="512"/>
      <c r="K85" s="512"/>
      <c r="L85" s="512"/>
      <c r="M85" s="512"/>
      <c r="N85" s="512"/>
      <c r="O85" s="512"/>
      <c r="P85" s="471"/>
    </row>
    <row r="86" spans="1:17" ht="16.5" thickBot="1">
      <c r="A86" s="433"/>
      <c r="B86" s="517" t="s">
        <v>594</v>
      </c>
      <c r="C86" s="479"/>
      <c r="D86" s="479"/>
      <c r="E86" s="479"/>
      <c r="F86" s="479"/>
      <c r="G86" s="479"/>
      <c r="H86" s="518" t="e">
        <f t="shared" ref="H86:O86" si="21">H84+H79</f>
        <v>#VALUE!</v>
      </c>
      <c r="I86" s="518">
        <f t="shared" si="21"/>
        <v>836819.6553570634</v>
      </c>
      <c r="J86" s="518">
        <f t="shared" si="21"/>
        <v>1190564.7094343489</v>
      </c>
      <c r="K86" s="518">
        <f t="shared" si="21"/>
        <v>1776022.0255102867</v>
      </c>
      <c r="L86" s="518">
        <f t="shared" si="21"/>
        <v>2393676.5292553185</v>
      </c>
      <c r="M86" s="518">
        <f t="shared" si="21"/>
        <v>3041360.2615258014</v>
      </c>
      <c r="N86" s="518">
        <f t="shared" si="21"/>
        <v>3692732.263946509</v>
      </c>
      <c r="O86" s="518">
        <f t="shared" si="21"/>
        <v>4414587.6420971956</v>
      </c>
      <c r="P86" s="519"/>
    </row>
    <row r="87" spans="1:17">
      <c r="A87" s="433"/>
      <c r="C87" s="272"/>
      <c r="P87" s="433"/>
      <c r="Q87" s="433"/>
    </row>
    <row r="88" spans="1:17">
      <c r="A88" s="433"/>
      <c r="E88" t="s">
        <v>619</v>
      </c>
      <c r="F88" s="272"/>
    </row>
    <row r="89" spans="1:17">
      <c r="A89" s="433"/>
      <c r="E89" t="s">
        <v>620</v>
      </c>
      <c r="F89" s="272"/>
    </row>
    <row r="90" spans="1:17">
      <c r="A90" s="433"/>
    </row>
    <row r="91" spans="1:17">
      <c r="A91" s="433"/>
      <c r="D91" s="256" t="s">
        <v>621</v>
      </c>
      <c r="E91" s="272"/>
    </row>
    <row r="92" spans="1:17">
      <c r="A92" s="433"/>
      <c r="D92" s="256" t="s">
        <v>622</v>
      </c>
      <c r="E92" s="272"/>
    </row>
    <row r="93" spans="1:17">
      <c r="A93" s="433"/>
      <c r="D93" s="256" t="s">
        <v>623</v>
      </c>
      <c r="E93" s="272"/>
    </row>
    <row r="94" spans="1:17">
      <c r="A94" s="433"/>
    </row>
    <row r="95" spans="1:17">
      <c r="A95" s="433"/>
      <c r="B95" s="250" t="s">
        <v>624</v>
      </c>
    </row>
    <row r="96" spans="1:17">
      <c r="A96" s="433"/>
      <c r="B96" t="s">
        <v>625</v>
      </c>
    </row>
    <row r="97" spans="1:6">
      <c r="A97" s="433"/>
      <c r="E97" s="520">
        <v>0.02</v>
      </c>
    </row>
    <row r="98" spans="1:6">
      <c r="A98" s="433"/>
    </row>
    <row r="99" spans="1:6">
      <c r="A99" s="433"/>
    </row>
    <row r="100" spans="1:6">
      <c r="A100" t="s">
        <v>626</v>
      </c>
    </row>
    <row r="101" spans="1:6">
      <c r="A101" s="433"/>
    </row>
    <row r="102" spans="1:6">
      <c r="B102" t="s">
        <v>329</v>
      </c>
      <c r="E102" s="521"/>
      <c r="F102" t="s">
        <v>627</v>
      </c>
    </row>
    <row r="103" spans="1:6">
      <c r="B103" t="s">
        <v>617</v>
      </c>
      <c r="E103" s="521"/>
    </row>
    <row r="104" spans="1:6">
      <c r="B104" t="s">
        <v>331</v>
      </c>
      <c r="E104" s="256" t="s">
        <v>628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2031-B359-4C79-982D-4E3324094C6B}">
  <sheetPr>
    <tabColor theme="9" tint="0.79998168889431442"/>
  </sheetPr>
  <dimension ref="B1:AE54"/>
  <sheetViews>
    <sheetView showGridLines="0" topLeftCell="G9" zoomScaleNormal="100" workbookViewId="0">
      <selection activeCell="U35" sqref="U35"/>
    </sheetView>
  </sheetViews>
  <sheetFormatPr defaultColWidth="9.140625" defaultRowHeight="12.75" outlineLevelCol="1"/>
  <cols>
    <col min="1" max="2" width="9.140625" style="523"/>
    <col min="3" max="3" width="12.7109375" style="523" customWidth="1"/>
    <col min="4" max="4" width="14.140625" style="523" customWidth="1"/>
    <col min="5" max="5" width="5.140625" style="523" customWidth="1"/>
    <col min="6" max="10" width="9.140625" style="523"/>
    <col min="11" max="11" width="8.85546875" style="523" customWidth="1"/>
    <col min="12" max="13" width="1.42578125" style="523" customWidth="1"/>
    <col min="14" max="14" width="32.140625" style="523" customWidth="1"/>
    <col min="15" max="15" width="44.42578125" style="523" bestFit="1" customWidth="1"/>
    <col min="16" max="16" width="12.28515625" style="523" bestFit="1" customWidth="1"/>
    <col min="17" max="17" width="14.28515625" style="523" customWidth="1"/>
    <col min="18" max="18" width="36.42578125" style="523" bestFit="1" customWidth="1"/>
    <col min="19" max="19" width="10" style="523" customWidth="1"/>
    <col min="20" max="20" width="11.28515625" style="523" customWidth="1"/>
    <col min="21" max="21" width="20.140625" style="523" bestFit="1" customWidth="1"/>
    <col min="22" max="22" width="31.28515625" style="523" customWidth="1"/>
    <col min="23" max="23" width="9.140625" style="523" customWidth="1"/>
    <col min="24" max="24" width="20" style="523" customWidth="1" outlineLevel="1"/>
    <col min="25" max="25" width="12.28515625" style="523" customWidth="1" outlineLevel="1"/>
    <col min="26" max="26" width="2.28515625" style="523" customWidth="1" outlineLevel="1"/>
    <col min="27" max="27" width="24.28515625" style="523" customWidth="1" outlineLevel="1"/>
    <col min="28" max="28" width="28.7109375" style="523" customWidth="1"/>
    <col min="29" max="29" width="25.140625" style="523" customWidth="1"/>
    <col min="30" max="30" width="21.28515625" style="523" bestFit="1" customWidth="1"/>
    <col min="31" max="31" width="11.7109375" style="523" bestFit="1" customWidth="1"/>
    <col min="32" max="16384" width="9.140625" style="523"/>
  </cols>
  <sheetData>
    <row r="1" spans="2:30" ht="13.5" thickBot="1"/>
    <row r="2" spans="2:30" ht="18" customHeight="1" thickBot="1">
      <c r="N2" s="524" t="s">
        <v>629</v>
      </c>
      <c r="O2" s="525" t="s">
        <v>630</v>
      </c>
      <c r="Q2" s="526" t="s">
        <v>631</v>
      </c>
      <c r="R2" s="527">
        <v>400</v>
      </c>
    </row>
    <row r="3" spans="2:30" ht="18" customHeight="1" thickBot="1">
      <c r="B3" s="685" t="s">
        <v>632</v>
      </c>
      <c r="C3" s="686"/>
      <c r="D3" s="687"/>
      <c r="F3" s="694" t="s">
        <v>633</v>
      </c>
      <c r="G3" s="695"/>
      <c r="H3" s="695"/>
      <c r="I3" s="695"/>
      <c r="J3" s="696"/>
      <c r="N3" s="528" t="s">
        <v>634</v>
      </c>
      <c r="O3" s="529"/>
      <c r="P3" s="529"/>
      <c r="Q3" s="529"/>
      <c r="R3" s="529"/>
      <c r="S3" s="529"/>
      <c r="T3" s="529"/>
      <c r="U3" s="529"/>
      <c r="V3" s="703" t="s">
        <v>635</v>
      </c>
      <c r="X3" s="706" t="s">
        <v>636</v>
      </c>
      <c r="Y3" s="707"/>
      <c r="Z3" s="707"/>
      <c r="AA3" s="707"/>
      <c r="AB3" s="707"/>
      <c r="AC3" s="707"/>
      <c r="AD3" s="708"/>
    </row>
    <row r="4" spans="2:30" ht="14.45" customHeight="1" thickBot="1">
      <c r="B4" s="688"/>
      <c r="C4" s="689"/>
      <c r="D4" s="690"/>
      <c r="F4" s="697"/>
      <c r="G4" s="698"/>
      <c r="H4" s="698"/>
      <c r="I4" s="698"/>
      <c r="J4" s="699"/>
      <c r="N4" s="530" t="s">
        <v>637</v>
      </c>
      <c r="O4" s="531" t="s">
        <v>638</v>
      </c>
      <c r="P4" s="532" t="s">
        <v>90</v>
      </c>
      <c r="Q4" s="532"/>
      <c r="R4" s="533" t="s">
        <v>526</v>
      </c>
      <c r="S4" s="532"/>
      <c r="T4" s="532"/>
      <c r="U4" s="532" t="s">
        <v>527</v>
      </c>
      <c r="V4" s="704"/>
      <c r="X4" s="530" t="s">
        <v>637</v>
      </c>
      <c r="Y4" s="532" t="s">
        <v>90</v>
      </c>
      <c r="Z4" s="532"/>
      <c r="AA4" s="533" t="s">
        <v>526</v>
      </c>
      <c r="AB4" s="532"/>
      <c r="AC4" s="532"/>
      <c r="AD4" s="534" t="s">
        <v>527</v>
      </c>
    </row>
    <row r="5" spans="2:30" ht="14.45" customHeight="1" thickBot="1">
      <c r="B5" s="688"/>
      <c r="C5" s="689"/>
      <c r="D5" s="690"/>
      <c r="F5" s="697"/>
      <c r="G5" s="698"/>
      <c r="H5" s="698"/>
      <c r="I5" s="698"/>
      <c r="J5" s="699"/>
      <c r="N5" s="535" t="s">
        <v>639</v>
      </c>
      <c r="O5" s="536"/>
      <c r="P5" s="537">
        <v>6860</v>
      </c>
      <c r="Q5" s="537" t="s">
        <v>533</v>
      </c>
      <c r="R5" s="538">
        <f>$R$2</f>
        <v>400</v>
      </c>
      <c r="S5" s="709" t="s">
        <v>535</v>
      </c>
      <c r="T5" s="709"/>
      <c r="U5" s="539">
        <f>IFERROR(P5*R5,0)</f>
        <v>2744000</v>
      </c>
      <c r="V5" s="704"/>
      <c r="X5" s="535" t="s">
        <v>639</v>
      </c>
      <c r="Y5" s="537">
        <v>6860</v>
      </c>
      <c r="Z5" s="537" t="s">
        <v>533</v>
      </c>
      <c r="AA5" s="540">
        <f>VLOOKUP($O$2,[3]Data!$B$2:$AE$6,4,0)</f>
        <v>58915.91</v>
      </c>
      <c r="AB5" s="709" t="s">
        <v>535</v>
      </c>
      <c r="AC5" s="709"/>
      <c r="AD5" s="539">
        <f>AA5*P5</f>
        <v>404163142.60000002</v>
      </c>
    </row>
    <row r="6" spans="2:30" ht="14.45" customHeight="1" thickBot="1">
      <c r="B6" s="688"/>
      <c r="C6" s="689"/>
      <c r="D6" s="690"/>
      <c r="F6" s="697"/>
      <c r="G6" s="698"/>
      <c r="H6" s="698"/>
      <c r="I6" s="698"/>
      <c r="J6" s="699"/>
      <c r="N6" s="530" t="s">
        <v>524</v>
      </c>
      <c r="O6" s="533"/>
      <c r="P6" s="532" t="s">
        <v>525</v>
      </c>
      <c r="Q6" s="532"/>
      <c r="R6" s="533" t="s">
        <v>526</v>
      </c>
      <c r="S6" s="532"/>
      <c r="T6" s="532"/>
      <c r="U6" s="541" t="s">
        <v>527</v>
      </c>
      <c r="V6" s="705"/>
      <c r="X6" s="530" t="s">
        <v>524</v>
      </c>
      <c r="Y6" s="532" t="s">
        <v>525</v>
      </c>
      <c r="Z6" s="532"/>
      <c r="AA6" s="533" t="s">
        <v>526</v>
      </c>
      <c r="AB6" s="532"/>
      <c r="AC6" s="532"/>
      <c r="AD6" s="541" t="s">
        <v>527</v>
      </c>
    </row>
    <row r="7" spans="2:30" ht="14.1" customHeight="1">
      <c r="B7" s="688"/>
      <c r="C7" s="689"/>
      <c r="D7" s="690"/>
      <c r="F7" s="697"/>
      <c r="G7" s="698"/>
      <c r="H7" s="698"/>
      <c r="I7" s="698"/>
      <c r="J7" s="699"/>
      <c r="N7" s="535" t="s">
        <v>531</v>
      </c>
      <c r="O7" s="391" t="s">
        <v>532</v>
      </c>
      <c r="P7" s="542">
        <v>0.25</v>
      </c>
      <c r="Q7" s="542" t="s">
        <v>533</v>
      </c>
      <c r="R7" s="538">
        <f>$R$2*Q41</f>
        <v>106.4016833483519</v>
      </c>
      <c r="S7" s="543" t="s">
        <v>534</v>
      </c>
      <c r="T7" s="543" t="s">
        <v>535</v>
      </c>
      <c r="U7" s="539">
        <f t="shared" ref="U7:U20" si="0">IFERROR(P7*R7*6860,0)</f>
        <v>182478.8869424235</v>
      </c>
      <c r="V7" s="544">
        <f t="shared" ref="V7:V20" si="1">IFERROR((AA7/$AA$5)*$R$5," ")</f>
        <v>106.4016833483519</v>
      </c>
      <c r="X7" s="535" t="s">
        <v>531</v>
      </c>
      <c r="Y7" s="542">
        <v>0.25</v>
      </c>
      <c r="Z7" s="542" t="s">
        <v>533</v>
      </c>
      <c r="AA7" s="540">
        <f>VLOOKUP($O$2,[3]Data!$B$2:$AE$6,5,0)</f>
        <v>15671.88</v>
      </c>
      <c r="AB7" s="543" t="s">
        <v>534</v>
      </c>
      <c r="AC7" s="543" t="s">
        <v>535</v>
      </c>
      <c r="AD7" s="539">
        <f>$AA7*$P$5*$P7</f>
        <v>26877274.199999999</v>
      </c>
    </row>
    <row r="8" spans="2:30" ht="14.45" customHeight="1">
      <c r="B8" s="688"/>
      <c r="C8" s="689"/>
      <c r="D8" s="690"/>
      <c r="F8" s="697"/>
      <c r="G8" s="698"/>
      <c r="H8" s="698"/>
      <c r="I8" s="698"/>
      <c r="J8" s="699"/>
      <c r="N8" s="535" t="s">
        <v>537</v>
      </c>
      <c r="O8" s="391" t="s">
        <v>538</v>
      </c>
      <c r="P8" s="542">
        <v>0.05</v>
      </c>
      <c r="Q8" s="542" t="s">
        <v>533</v>
      </c>
      <c r="R8" s="538">
        <f t="shared" ref="R8:R20" si="2">$R$2*Q42</f>
        <v>158.08300338567287</v>
      </c>
      <c r="S8" s="543" t="s">
        <v>534</v>
      </c>
      <c r="T8" s="543" t="s">
        <v>535</v>
      </c>
      <c r="U8" s="539">
        <f t="shared" si="0"/>
        <v>54222.470161285797</v>
      </c>
      <c r="V8" s="544">
        <f t="shared" si="1"/>
        <v>158.08300338567287</v>
      </c>
      <c r="X8" s="535" t="s">
        <v>537</v>
      </c>
      <c r="Y8" s="542">
        <v>0.05</v>
      </c>
      <c r="Z8" s="542" t="s">
        <v>533</v>
      </c>
      <c r="AA8" s="540">
        <f>VLOOKUP($O$2,[3]Data!$B$2:$AE$6,7,0)</f>
        <v>23284.01</v>
      </c>
      <c r="AB8" s="543" t="s">
        <v>534</v>
      </c>
      <c r="AC8" s="543" t="s">
        <v>535</v>
      </c>
      <c r="AD8" s="539">
        <f t="shared" ref="AD8:AD20" si="3">$AA8*$P$5*$P8</f>
        <v>7986415.4299999997</v>
      </c>
    </row>
    <row r="9" spans="2:30" ht="14.1" customHeight="1">
      <c r="B9" s="688"/>
      <c r="C9" s="689"/>
      <c r="D9" s="690"/>
      <c r="F9" s="697"/>
      <c r="G9" s="698"/>
      <c r="H9" s="698"/>
      <c r="I9" s="698"/>
      <c r="J9" s="699"/>
      <c r="N9" s="535" t="s">
        <v>540</v>
      </c>
      <c r="O9" s="391" t="s">
        <v>541</v>
      </c>
      <c r="P9" s="542">
        <v>0.05</v>
      </c>
      <c r="Q9" s="542" t="s">
        <v>533</v>
      </c>
      <c r="R9" s="545">
        <f>R5</f>
        <v>400</v>
      </c>
      <c r="S9" s="543" t="s">
        <v>534</v>
      </c>
      <c r="T9" s="543" t="s">
        <v>535</v>
      </c>
      <c r="U9" s="539">
        <f t="shared" si="0"/>
        <v>137200</v>
      </c>
      <c r="V9" s="544">
        <f t="shared" si="1"/>
        <v>0</v>
      </c>
      <c r="X9" s="535" t="s">
        <v>540</v>
      </c>
      <c r="Y9" s="542">
        <v>0.05</v>
      </c>
      <c r="Z9" s="542" t="s">
        <v>533</v>
      </c>
      <c r="AA9" s="540">
        <f>VLOOKUP($O$2,[3]Data!$B$2:$AE$6,20,0)</f>
        <v>0</v>
      </c>
      <c r="AB9" s="543" t="s">
        <v>534</v>
      </c>
      <c r="AC9" s="543" t="s">
        <v>535</v>
      </c>
      <c r="AD9" s="539">
        <f t="shared" si="3"/>
        <v>0</v>
      </c>
    </row>
    <row r="10" spans="2:30" ht="15" customHeight="1">
      <c r="B10" s="688"/>
      <c r="C10" s="689"/>
      <c r="D10" s="690"/>
      <c r="F10" s="697"/>
      <c r="G10" s="698"/>
      <c r="H10" s="698"/>
      <c r="I10" s="698"/>
      <c r="J10" s="699"/>
      <c r="N10" s="535" t="s">
        <v>542</v>
      </c>
      <c r="O10" s="399" t="s">
        <v>543</v>
      </c>
      <c r="P10" s="542">
        <v>0.05</v>
      </c>
      <c r="Q10" s="542" t="s">
        <v>533</v>
      </c>
      <c r="R10" s="545">
        <v>0</v>
      </c>
      <c r="S10" s="543" t="s">
        <v>534</v>
      </c>
      <c r="T10" s="543" t="s">
        <v>535</v>
      </c>
      <c r="U10" s="539">
        <f t="shared" si="0"/>
        <v>0</v>
      </c>
      <c r="V10" s="544">
        <f t="shared" si="1"/>
        <v>0.76060087469100601</v>
      </c>
      <c r="X10" s="535" t="s">
        <v>542</v>
      </c>
      <c r="Y10" s="542">
        <v>0.05</v>
      </c>
      <c r="Z10" s="542" t="s">
        <v>533</v>
      </c>
      <c r="AA10" s="540">
        <f>VLOOKUP($O$2,[3]Data!$B$2:$AE$6,19,0)</f>
        <v>112.02873169804147</v>
      </c>
      <c r="AB10" s="543" t="s">
        <v>534</v>
      </c>
      <c r="AC10" s="543" t="s">
        <v>535</v>
      </c>
      <c r="AD10" s="539">
        <f t="shared" si="3"/>
        <v>38425.854972428227</v>
      </c>
    </row>
    <row r="11" spans="2:30" ht="14.1" customHeight="1">
      <c r="B11" s="688"/>
      <c r="C11" s="689"/>
      <c r="D11" s="690"/>
      <c r="F11" s="697"/>
      <c r="G11" s="698"/>
      <c r="H11" s="698"/>
      <c r="I11" s="698"/>
      <c r="J11" s="699"/>
      <c r="N11" s="535" t="s">
        <v>544</v>
      </c>
      <c r="O11" s="391" t="s">
        <v>545</v>
      </c>
      <c r="P11" s="542">
        <v>0.15</v>
      </c>
      <c r="Q11" s="542" t="s">
        <v>533</v>
      </c>
      <c r="R11" s="538">
        <f t="shared" si="2"/>
        <v>29.764523708451591</v>
      </c>
      <c r="S11" s="543" t="s">
        <v>534</v>
      </c>
      <c r="T11" s="543" t="s">
        <v>535</v>
      </c>
      <c r="U11" s="539">
        <f t="shared" si="0"/>
        <v>30627.694895996687</v>
      </c>
      <c r="V11" s="544">
        <f t="shared" si="1"/>
        <v>29.764523708451591</v>
      </c>
      <c r="X11" s="535" t="s">
        <v>544</v>
      </c>
      <c r="Y11" s="542">
        <v>0.15</v>
      </c>
      <c r="Z11" s="542" t="s">
        <v>533</v>
      </c>
      <c r="AA11" s="540">
        <f>VLOOKUP($O$2,[3]Data!$B$2:$AE$6,9,0)</f>
        <v>4384.01</v>
      </c>
      <c r="AB11" s="543" t="s">
        <v>534</v>
      </c>
      <c r="AC11" s="543" t="s">
        <v>535</v>
      </c>
      <c r="AD11" s="539">
        <f t="shared" si="3"/>
        <v>4511146.29</v>
      </c>
    </row>
    <row r="12" spans="2:30" ht="14.45" customHeight="1">
      <c r="B12" s="688"/>
      <c r="C12" s="689"/>
      <c r="D12" s="690"/>
      <c r="F12" s="697"/>
      <c r="G12" s="698"/>
      <c r="H12" s="698"/>
      <c r="I12" s="698"/>
      <c r="J12" s="699"/>
      <c r="N12" s="535" t="s">
        <v>546</v>
      </c>
      <c r="O12" s="399" t="s">
        <v>547</v>
      </c>
      <c r="P12" s="542">
        <v>0.2</v>
      </c>
      <c r="Q12" s="542" t="s">
        <v>533</v>
      </c>
      <c r="R12" s="538">
        <f t="shared" si="2"/>
        <v>32.002968298376452</v>
      </c>
      <c r="S12" s="543" t="s">
        <v>534</v>
      </c>
      <c r="T12" s="543" t="s">
        <v>535</v>
      </c>
      <c r="U12" s="539">
        <f t="shared" si="0"/>
        <v>43908.072505372496</v>
      </c>
      <c r="V12" s="544">
        <f t="shared" si="1"/>
        <v>32.002968298376452</v>
      </c>
      <c r="X12" s="535" t="s">
        <v>546</v>
      </c>
      <c r="Y12" s="542">
        <v>0.2</v>
      </c>
      <c r="Z12" s="542" t="s">
        <v>533</v>
      </c>
      <c r="AA12" s="540">
        <f>VLOOKUP($O$2,[3]Data!$B$2:$AE$6,10,0)</f>
        <v>4713.71</v>
      </c>
      <c r="AB12" s="543" t="s">
        <v>534</v>
      </c>
      <c r="AC12" s="543" t="s">
        <v>535</v>
      </c>
      <c r="AD12" s="539">
        <f t="shared" si="3"/>
        <v>6467210.120000001</v>
      </c>
    </row>
    <row r="13" spans="2:30" ht="18" customHeight="1">
      <c r="B13" s="688"/>
      <c r="C13" s="689"/>
      <c r="D13" s="690"/>
      <c r="F13" s="697"/>
      <c r="G13" s="698"/>
      <c r="H13" s="698"/>
      <c r="I13" s="698"/>
      <c r="J13" s="699"/>
      <c r="N13" s="535" t="s">
        <v>548</v>
      </c>
      <c r="O13" s="391" t="s">
        <v>549</v>
      </c>
      <c r="P13" s="542">
        <v>0.4</v>
      </c>
      <c r="Q13" s="542" t="s">
        <v>533</v>
      </c>
      <c r="R13" s="538">
        <f t="shared" si="2"/>
        <v>13.311446772187683</v>
      </c>
      <c r="S13" s="543" t="s">
        <v>534</v>
      </c>
      <c r="T13" s="543" t="s">
        <v>535</v>
      </c>
      <c r="U13" s="539">
        <f t="shared" si="0"/>
        <v>36526.609942882998</v>
      </c>
      <c r="V13" s="544">
        <f t="shared" si="1"/>
        <v>13.311446772187683</v>
      </c>
      <c r="X13" s="535" t="s">
        <v>548</v>
      </c>
      <c r="Y13" s="542">
        <v>0.4</v>
      </c>
      <c r="Z13" s="542" t="s">
        <v>533</v>
      </c>
      <c r="AA13" s="540">
        <f>VLOOKUP($O$2,[3]Data!$B$2:$AE$6,11,0)</f>
        <v>1960.64</v>
      </c>
      <c r="AB13" s="543" t="s">
        <v>534</v>
      </c>
      <c r="AC13" s="543" t="s">
        <v>535</v>
      </c>
      <c r="AD13" s="539">
        <f t="shared" si="3"/>
        <v>5379996.1600000001</v>
      </c>
    </row>
    <row r="14" spans="2:30" ht="16.350000000000001" customHeight="1">
      <c r="B14" s="688"/>
      <c r="C14" s="689"/>
      <c r="D14" s="690"/>
      <c r="F14" s="697"/>
      <c r="G14" s="698"/>
      <c r="H14" s="698"/>
      <c r="I14" s="698"/>
      <c r="J14" s="699"/>
      <c r="N14" s="535" t="s">
        <v>550</v>
      </c>
      <c r="O14" s="399" t="s">
        <v>551</v>
      </c>
      <c r="P14" s="542">
        <v>0.6</v>
      </c>
      <c r="Q14" s="542" t="s">
        <v>533</v>
      </c>
      <c r="R14" s="538">
        <f t="shared" si="2"/>
        <v>1.4785819314341406</v>
      </c>
      <c r="S14" s="543" t="s">
        <v>534</v>
      </c>
      <c r="T14" s="543" t="s">
        <v>535</v>
      </c>
      <c r="U14" s="539">
        <f t="shared" si="0"/>
        <v>6085.8432297829231</v>
      </c>
      <c r="V14" s="544">
        <f t="shared" si="1"/>
        <v>1.4785819314341406</v>
      </c>
      <c r="X14" s="535" t="s">
        <v>550</v>
      </c>
      <c r="Y14" s="542">
        <v>0.6</v>
      </c>
      <c r="Z14" s="542" t="s">
        <v>533</v>
      </c>
      <c r="AA14" s="540">
        <f>VLOOKUP($O$2,[3]Data!$B$2:$AE$6,12,0)</f>
        <v>217.78</v>
      </c>
      <c r="AB14" s="543" t="s">
        <v>534</v>
      </c>
      <c r="AC14" s="543" t="s">
        <v>535</v>
      </c>
      <c r="AD14" s="539">
        <f t="shared" si="3"/>
        <v>896382.48</v>
      </c>
    </row>
    <row r="15" spans="2:30" ht="14.1" customHeight="1">
      <c r="B15" s="688"/>
      <c r="C15" s="689"/>
      <c r="D15" s="690"/>
      <c r="F15" s="697"/>
      <c r="G15" s="698"/>
      <c r="H15" s="698"/>
      <c r="I15" s="698"/>
      <c r="J15" s="699"/>
      <c r="N15" s="535" t="s">
        <v>552</v>
      </c>
      <c r="O15" s="546" t="s">
        <v>553</v>
      </c>
      <c r="P15" s="542">
        <v>0.7</v>
      </c>
      <c r="Q15" s="542" t="s">
        <v>533</v>
      </c>
      <c r="R15" s="538">
        <f t="shared" si="2"/>
        <v>20.554244176148682</v>
      </c>
      <c r="S15" s="543" t="s">
        <v>534</v>
      </c>
      <c r="T15" s="543" t="s">
        <v>535</v>
      </c>
      <c r="U15" s="539">
        <f t="shared" si="0"/>
        <v>98701.480533865964</v>
      </c>
      <c r="V15" s="544">
        <f t="shared" si="1"/>
        <v>20.554244176148682</v>
      </c>
      <c r="X15" s="535" t="s">
        <v>552</v>
      </c>
      <c r="Y15" s="542">
        <v>0.7</v>
      </c>
      <c r="Z15" s="542" t="s">
        <v>533</v>
      </c>
      <c r="AA15" s="540">
        <f>VLOOKUP($O$2,[3]Data!$B$2:$AE$6,13,0)</f>
        <v>3027.43</v>
      </c>
      <c r="AB15" s="543" t="s">
        <v>534</v>
      </c>
      <c r="AC15" s="543" t="s">
        <v>535</v>
      </c>
      <c r="AD15" s="539">
        <f t="shared" si="3"/>
        <v>14537718.859999998</v>
      </c>
    </row>
    <row r="16" spans="2:30" ht="14.1" customHeight="1">
      <c r="B16" s="688"/>
      <c r="C16" s="689"/>
      <c r="D16" s="690"/>
      <c r="F16" s="697"/>
      <c r="G16" s="698"/>
      <c r="H16" s="698"/>
      <c r="I16" s="698"/>
      <c r="J16" s="699"/>
      <c r="N16" s="535" t="s">
        <v>554</v>
      </c>
      <c r="O16" s="391" t="s">
        <v>555</v>
      </c>
      <c r="P16" s="542">
        <v>0.75</v>
      </c>
      <c r="Q16" s="542" t="s">
        <v>533</v>
      </c>
      <c r="R16" s="538">
        <f t="shared" si="2"/>
        <v>8.2345838331275871</v>
      </c>
      <c r="S16" s="543" t="s">
        <v>534</v>
      </c>
      <c r="T16" s="543" t="s">
        <v>535</v>
      </c>
      <c r="U16" s="539">
        <f t="shared" si="0"/>
        <v>42366.933821441438</v>
      </c>
      <c r="V16" s="544">
        <f t="shared" si="1"/>
        <v>8.2345838331275871</v>
      </c>
      <c r="X16" s="535" t="s">
        <v>554</v>
      </c>
      <c r="Y16" s="542">
        <v>0.75</v>
      </c>
      <c r="Z16" s="542" t="s">
        <v>533</v>
      </c>
      <c r="AA16" s="540">
        <f>VLOOKUP($O$2,[3]Data!$B$2:$AE$6,14,0)</f>
        <v>1212.8699999999999</v>
      </c>
      <c r="AB16" s="543" t="s">
        <v>534</v>
      </c>
      <c r="AC16" s="543" t="s">
        <v>535</v>
      </c>
      <c r="AD16" s="539">
        <f t="shared" si="3"/>
        <v>6240216.1499999994</v>
      </c>
    </row>
    <row r="17" spans="2:31" ht="14.1" customHeight="1">
      <c r="B17" s="688"/>
      <c r="C17" s="689"/>
      <c r="D17" s="690"/>
      <c r="F17" s="697"/>
      <c r="G17" s="698"/>
      <c r="H17" s="698"/>
      <c r="I17" s="698"/>
      <c r="J17" s="699"/>
      <c r="N17" s="535" t="s">
        <v>556</v>
      </c>
      <c r="O17" s="391" t="s">
        <v>557</v>
      </c>
      <c r="P17" s="542">
        <v>0.8</v>
      </c>
      <c r="Q17" s="542" t="s">
        <v>533</v>
      </c>
      <c r="R17" s="538">
        <f t="shared" si="2"/>
        <v>7.4053341448854813</v>
      </c>
      <c r="S17" s="543" t="s">
        <v>534</v>
      </c>
      <c r="T17" s="543" t="s">
        <v>535</v>
      </c>
      <c r="U17" s="539">
        <f t="shared" si="0"/>
        <v>40640.473787131523</v>
      </c>
      <c r="V17" s="544">
        <f t="shared" si="1"/>
        <v>7.4053341448854813</v>
      </c>
      <c r="X17" s="535" t="s">
        <v>556</v>
      </c>
      <c r="Y17" s="542">
        <v>0.8</v>
      </c>
      <c r="Z17" s="542" t="s">
        <v>533</v>
      </c>
      <c r="AA17" s="540">
        <f>VLOOKUP($O$2,[3]Data!$B$2:$AE$6,15,0)</f>
        <v>1090.73</v>
      </c>
      <c r="AB17" s="543" t="s">
        <v>534</v>
      </c>
      <c r="AC17" s="543" t="s">
        <v>535</v>
      </c>
      <c r="AD17" s="539">
        <f t="shared" si="3"/>
        <v>5985926.2400000002</v>
      </c>
    </row>
    <row r="18" spans="2:31" ht="14.45" customHeight="1">
      <c r="B18" s="688"/>
      <c r="C18" s="689"/>
      <c r="D18" s="690"/>
      <c r="F18" s="697"/>
      <c r="G18" s="698"/>
      <c r="H18" s="698"/>
      <c r="I18" s="698"/>
      <c r="J18" s="699"/>
      <c r="N18" s="535" t="s">
        <v>558</v>
      </c>
      <c r="O18" s="391" t="s">
        <v>559</v>
      </c>
      <c r="P18" s="542">
        <v>1</v>
      </c>
      <c r="Q18" s="542" t="s">
        <v>533</v>
      </c>
      <c r="R18" s="538">
        <f t="shared" si="2"/>
        <v>0.17509701539024008</v>
      </c>
      <c r="S18" s="543" t="s">
        <v>534</v>
      </c>
      <c r="T18" s="543" t="s">
        <v>535</v>
      </c>
      <c r="U18" s="539">
        <f t="shared" si="0"/>
        <v>1201.165525577047</v>
      </c>
      <c r="V18" s="544">
        <f t="shared" si="1"/>
        <v>0.17509701539024008</v>
      </c>
      <c r="X18" s="535" t="s">
        <v>558</v>
      </c>
      <c r="Y18" s="542">
        <v>1</v>
      </c>
      <c r="Z18" s="542" t="s">
        <v>533</v>
      </c>
      <c r="AA18" s="540">
        <f>VLOOKUP($O$2,[3]Data!$B$2:$AE$6,16,0)</f>
        <v>25.79</v>
      </c>
      <c r="AB18" s="543" t="s">
        <v>534</v>
      </c>
      <c r="AC18" s="543" t="s">
        <v>535</v>
      </c>
      <c r="AD18" s="539">
        <f t="shared" si="3"/>
        <v>176919.4</v>
      </c>
    </row>
    <row r="19" spans="2:31" ht="14.1" customHeight="1">
      <c r="B19" s="688"/>
      <c r="C19" s="689"/>
      <c r="D19" s="690"/>
      <c r="F19" s="697"/>
      <c r="G19" s="698"/>
      <c r="H19" s="698"/>
      <c r="I19" s="698"/>
      <c r="J19" s="699"/>
      <c r="N19" s="535" t="s">
        <v>560</v>
      </c>
      <c r="O19" s="391" t="s">
        <v>561</v>
      </c>
      <c r="P19" s="542">
        <v>1.25</v>
      </c>
      <c r="Q19" s="542" t="s">
        <v>533</v>
      </c>
      <c r="R19" s="538">
        <f t="shared" si="2"/>
        <v>6.2593618599797578</v>
      </c>
      <c r="S19" s="543" t="s">
        <v>534</v>
      </c>
      <c r="T19" s="543" t="s">
        <v>535</v>
      </c>
      <c r="U19" s="539">
        <f t="shared" si="0"/>
        <v>53674.027949326424</v>
      </c>
      <c r="V19" s="544">
        <f t="shared" si="1"/>
        <v>6.2593618599797578</v>
      </c>
      <c r="X19" s="535" t="s">
        <v>560</v>
      </c>
      <c r="Y19" s="542">
        <v>1.25</v>
      </c>
      <c r="Z19" s="542" t="s">
        <v>533</v>
      </c>
      <c r="AA19" s="540">
        <f>VLOOKUP($O$2,[3]Data!$B$2:$AE$6,17,0)</f>
        <v>921.94</v>
      </c>
      <c r="AB19" s="543" t="s">
        <v>534</v>
      </c>
      <c r="AC19" s="543" t="s">
        <v>535</v>
      </c>
      <c r="AD19" s="539">
        <f t="shared" si="3"/>
        <v>7905635.5</v>
      </c>
    </row>
    <row r="20" spans="2:31" ht="14.45" customHeight="1" thickBot="1">
      <c r="B20" s="688"/>
      <c r="C20" s="689"/>
      <c r="D20" s="690"/>
      <c r="F20" s="697"/>
      <c r="G20" s="698"/>
      <c r="H20" s="698"/>
      <c r="I20" s="698"/>
      <c r="J20" s="699"/>
      <c r="N20" s="535" t="s">
        <v>562</v>
      </c>
      <c r="O20" s="391" t="s">
        <v>563</v>
      </c>
      <c r="P20" s="542">
        <v>1.5</v>
      </c>
      <c r="Q20" s="542" t="s">
        <v>533</v>
      </c>
      <c r="R20" s="538">
        <f t="shared" si="2"/>
        <v>0.13130578819880739</v>
      </c>
      <c r="S20" s="543" t="s">
        <v>534</v>
      </c>
      <c r="T20" s="543" t="s">
        <v>535</v>
      </c>
      <c r="U20" s="539">
        <f t="shared" si="0"/>
        <v>1351.1365605657281</v>
      </c>
      <c r="V20" s="544">
        <f t="shared" si="1"/>
        <v>0.13130578819880739</v>
      </c>
      <c r="X20" s="535" t="s">
        <v>562</v>
      </c>
      <c r="Y20" s="542">
        <v>1.5</v>
      </c>
      <c r="Z20" s="542" t="s">
        <v>533</v>
      </c>
      <c r="AA20" s="540">
        <f>VLOOKUP($O$2,[3]Data!$B$2:$AE$6,18,0)</f>
        <v>19.34</v>
      </c>
      <c r="AB20" s="543" t="s">
        <v>534</v>
      </c>
      <c r="AC20" s="543" t="s">
        <v>535</v>
      </c>
      <c r="AD20" s="539">
        <f t="shared" si="3"/>
        <v>199008.59999999998</v>
      </c>
    </row>
    <row r="21" spans="2:31" ht="14.45" customHeight="1" thickBot="1">
      <c r="B21" s="688"/>
      <c r="C21" s="689"/>
      <c r="D21" s="690"/>
      <c r="F21" s="700"/>
      <c r="G21" s="701"/>
      <c r="H21" s="701"/>
      <c r="I21" s="701"/>
      <c r="J21" s="702"/>
      <c r="N21" s="530" t="s">
        <v>564</v>
      </c>
      <c r="O21" s="533"/>
      <c r="P21" s="532"/>
      <c r="Q21" s="532"/>
      <c r="R21" s="533"/>
      <c r="S21" s="532"/>
      <c r="T21" s="532"/>
      <c r="U21" s="541"/>
      <c r="V21" s="547"/>
      <c r="X21" s="530" t="s">
        <v>564</v>
      </c>
      <c r="Y21" s="532"/>
      <c r="Z21" s="532"/>
      <c r="AA21" s="533"/>
      <c r="AB21" s="532"/>
      <c r="AC21" s="532"/>
      <c r="AD21" s="541"/>
    </row>
    <row r="22" spans="2:31" ht="17.45" customHeight="1" thickBot="1">
      <c r="B22" s="688"/>
      <c r="C22" s="689"/>
      <c r="D22" s="690"/>
      <c r="N22" s="535" t="s">
        <v>640</v>
      </c>
      <c r="O22" s="548" t="s">
        <v>641</v>
      </c>
      <c r="P22" s="549">
        <v>500</v>
      </c>
      <c r="Q22" s="537" t="s">
        <v>533</v>
      </c>
      <c r="R22" s="538">
        <v>0</v>
      </c>
      <c r="S22" s="543"/>
      <c r="T22" s="543" t="s">
        <v>535</v>
      </c>
      <c r="U22" s="539">
        <f>IFERROR(P22*R22,0)</f>
        <v>0</v>
      </c>
      <c r="V22" s="544">
        <f>IFERROR((AA22/$AA$5)*$R$5," ")</f>
        <v>117.81191192667653</v>
      </c>
      <c r="X22" s="535" t="s">
        <v>640</v>
      </c>
      <c r="Y22" s="537">
        <v>500</v>
      </c>
      <c r="Z22" s="537" t="s">
        <v>533</v>
      </c>
      <c r="AA22" s="540">
        <f>VLOOKUP($O$2,[3]Data!$B$2:$AE$6,27,0)</f>
        <v>17352.490000000002</v>
      </c>
      <c r="AB22" s="543"/>
      <c r="AC22" s="543" t="s">
        <v>535</v>
      </c>
      <c r="AD22" s="539">
        <f>$AA22*$P22</f>
        <v>8676245</v>
      </c>
    </row>
    <row r="23" spans="2:31" ht="14.1" customHeight="1">
      <c r="B23" s="688"/>
      <c r="C23" s="689"/>
      <c r="D23" s="690"/>
      <c r="F23" s="710" t="s">
        <v>642</v>
      </c>
      <c r="G23" s="711"/>
      <c r="H23" s="711"/>
      <c r="I23" s="711"/>
      <c r="J23" s="712"/>
      <c r="N23" s="535" t="s">
        <v>643</v>
      </c>
      <c r="O23" s="548" t="s">
        <v>644</v>
      </c>
      <c r="P23" s="549">
        <v>500</v>
      </c>
      <c r="Q23" s="537" t="s">
        <v>533</v>
      </c>
      <c r="R23" s="538">
        <v>0</v>
      </c>
      <c r="S23" s="543"/>
      <c r="T23" s="543" t="s">
        <v>535</v>
      </c>
      <c r="U23" s="539">
        <f>IFERROR(P23*R23,0)</f>
        <v>0</v>
      </c>
      <c r="V23" s="544">
        <f>IFERROR((AA23/$AA$5)*$R$5," ")</f>
        <v>6.4153129434816494</v>
      </c>
      <c r="X23" s="550" t="s">
        <v>643</v>
      </c>
      <c r="Y23" s="537">
        <v>500</v>
      </c>
      <c r="Z23" s="537" t="s">
        <v>533</v>
      </c>
      <c r="AA23" s="540">
        <f>VLOOKUP($O$2,[3]Data!$B$2:$AE$6,23,0)</f>
        <v>944.91</v>
      </c>
      <c r="AB23" s="543"/>
      <c r="AC23" s="543" t="s">
        <v>535</v>
      </c>
      <c r="AD23" s="539">
        <f t="shared" ref="AD23:AD26" si="4">$AA23*$P23</f>
        <v>472455</v>
      </c>
    </row>
    <row r="24" spans="2:31" ht="14.1" customHeight="1">
      <c r="B24" s="688"/>
      <c r="C24" s="689"/>
      <c r="D24" s="690"/>
      <c r="F24" s="713"/>
      <c r="G24" s="714"/>
      <c r="H24" s="714"/>
      <c r="I24" s="714"/>
      <c r="J24" s="715"/>
      <c r="N24" s="535" t="s">
        <v>565</v>
      </c>
      <c r="O24" s="548" t="s">
        <v>566</v>
      </c>
      <c r="P24" s="549">
        <v>5000</v>
      </c>
      <c r="Q24" s="537" t="s">
        <v>533</v>
      </c>
      <c r="R24" s="545">
        <f>(AA24/$AA$5)*P24</f>
        <v>215.46641645694686</v>
      </c>
      <c r="S24" s="543"/>
      <c r="T24" s="543" t="s">
        <v>535</v>
      </c>
      <c r="U24" s="539">
        <f>IFERROR(P24*R24,0)</f>
        <v>1077332.0822847344</v>
      </c>
      <c r="V24" s="544">
        <f>IFERROR((AA24/$AA$5)*$R$5," ")</f>
        <v>17.237313316555749</v>
      </c>
      <c r="X24" s="535" t="s">
        <v>565</v>
      </c>
      <c r="Y24" s="537">
        <v>5000</v>
      </c>
      <c r="Z24" s="537" t="s">
        <v>533</v>
      </c>
      <c r="AA24" s="540">
        <f>VLOOKUP($O$2,[3]Data!$B$2:$AE$6,24,0)</f>
        <v>2538.88</v>
      </c>
      <c r="AB24" s="543"/>
      <c r="AC24" s="543" t="s">
        <v>535</v>
      </c>
      <c r="AD24" s="539">
        <f t="shared" si="4"/>
        <v>12694400</v>
      </c>
    </row>
    <row r="25" spans="2:31" ht="14.45" customHeight="1" thickBot="1">
      <c r="B25" s="691"/>
      <c r="C25" s="692"/>
      <c r="D25" s="693"/>
      <c r="F25" s="713"/>
      <c r="G25" s="714"/>
      <c r="H25" s="714"/>
      <c r="I25" s="714"/>
      <c r="J25" s="715"/>
      <c r="N25" s="535" t="s">
        <v>569</v>
      </c>
      <c r="O25" s="548" t="s">
        <v>570</v>
      </c>
      <c r="P25" s="549">
        <v>185.34</v>
      </c>
      <c r="Q25" s="537" t="s">
        <v>533</v>
      </c>
      <c r="R25" s="545">
        <f>R5/2</f>
        <v>200</v>
      </c>
      <c r="S25" s="543"/>
      <c r="T25" s="543" t="s">
        <v>535</v>
      </c>
      <c r="U25" s="539">
        <f>IFERROR(P25*R25,0)</f>
        <v>37068</v>
      </c>
      <c r="V25" s="544">
        <f>IFERROR((AA25/$AA$5)*$R$5," ")</f>
        <v>30.743070929397508</v>
      </c>
      <c r="X25" s="535" t="s">
        <v>569</v>
      </c>
      <c r="Y25" s="537">
        <v>185.34</v>
      </c>
      <c r="Z25" s="537" t="s">
        <v>533</v>
      </c>
      <c r="AA25" s="540">
        <f>VLOOKUP($O$2,[3]Data!$B$2:$AE$6,25,0)</f>
        <v>4528.1400000000003</v>
      </c>
      <c r="AB25" s="543"/>
      <c r="AC25" s="543" t="s">
        <v>535</v>
      </c>
      <c r="AD25" s="539">
        <f t="shared" si="4"/>
        <v>839245.46760000009</v>
      </c>
    </row>
    <row r="26" spans="2:31" ht="14.45" customHeight="1" thickBot="1">
      <c r="F26" s="713"/>
      <c r="G26" s="714"/>
      <c r="H26" s="714"/>
      <c r="I26" s="714"/>
      <c r="J26" s="715"/>
      <c r="N26" s="535" t="s">
        <v>572</v>
      </c>
      <c r="O26" s="548" t="s">
        <v>573</v>
      </c>
      <c r="P26" s="549">
        <v>500</v>
      </c>
      <c r="Q26" s="537" t="s">
        <v>533</v>
      </c>
      <c r="R26" s="545">
        <f>R2</f>
        <v>400</v>
      </c>
      <c r="S26" s="543"/>
      <c r="T26" s="543" t="s">
        <v>535</v>
      </c>
      <c r="U26" s="539">
        <f>IFERROR(P26*R26,0)</f>
        <v>200000</v>
      </c>
      <c r="V26" s="544">
        <f>IFERROR((AA26/$AA$5)*$R$5," ")</f>
        <v>3.0747551892179885</v>
      </c>
      <c r="X26" s="551" t="s">
        <v>572</v>
      </c>
      <c r="Y26" s="537">
        <v>500</v>
      </c>
      <c r="Z26" s="537" t="s">
        <v>533</v>
      </c>
      <c r="AA26" s="540">
        <f>VLOOKUP($O$2,[3]Data!$B$2:$AE$6,22,0)</f>
        <v>452.88</v>
      </c>
      <c r="AB26" s="543"/>
      <c r="AC26" s="543" t="s">
        <v>535</v>
      </c>
      <c r="AD26" s="539">
        <f t="shared" si="4"/>
        <v>226440</v>
      </c>
    </row>
    <row r="27" spans="2:31" ht="14.45" customHeight="1" thickBot="1">
      <c r="F27" s="713"/>
      <c r="G27" s="714"/>
      <c r="H27" s="714"/>
      <c r="I27" s="714"/>
      <c r="J27" s="715"/>
      <c r="N27" s="530" t="s">
        <v>645</v>
      </c>
      <c r="O27" s="533"/>
      <c r="P27" s="552"/>
      <c r="Q27" s="552"/>
      <c r="R27" s="553"/>
      <c r="S27" s="552"/>
      <c r="T27" s="552"/>
      <c r="U27" s="554"/>
      <c r="V27" s="555"/>
      <c r="X27" s="530" t="s">
        <v>645</v>
      </c>
      <c r="Y27" s="552"/>
      <c r="Z27" s="552"/>
      <c r="AA27" s="553"/>
      <c r="AB27" s="552"/>
      <c r="AC27" s="552"/>
      <c r="AD27" s="554"/>
    </row>
    <row r="28" spans="2:31" ht="14.45" customHeight="1" thickBot="1">
      <c r="F28" s="716"/>
      <c r="G28" s="717"/>
      <c r="H28" s="717"/>
      <c r="I28" s="717"/>
      <c r="J28" s="718"/>
      <c r="N28" s="556" t="s">
        <v>646</v>
      </c>
      <c r="O28" s="557"/>
      <c r="P28" s="558"/>
      <c r="Q28" s="558"/>
      <c r="R28" s="559"/>
      <c r="S28" s="558"/>
      <c r="T28" s="558"/>
      <c r="U28" s="560" t="s">
        <v>647</v>
      </c>
      <c r="X28" s="556" t="s">
        <v>646</v>
      </c>
      <c r="Y28" s="558"/>
      <c r="Z28" s="558"/>
      <c r="AA28" s="559"/>
      <c r="AB28" s="558"/>
      <c r="AC28" s="558"/>
      <c r="AD28" s="560" t="s">
        <v>647</v>
      </c>
    </row>
    <row r="29" spans="2:31" ht="15.75" thickBot="1">
      <c r="N29" s="535" t="s">
        <v>648</v>
      </c>
      <c r="O29" s="536"/>
      <c r="P29" s="543"/>
      <c r="Q29" s="543"/>
      <c r="R29" s="561"/>
      <c r="S29" s="543"/>
      <c r="T29" s="543"/>
      <c r="U29" s="562" t="s">
        <v>647</v>
      </c>
      <c r="X29" s="535" t="s">
        <v>648</v>
      </c>
      <c r="Y29" s="543"/>
      <c r="Z29" s="543"/>
      <c r="AA29" s="561"/>
      <c r="AB29" s="543"/>
      <c r="AC29" s="543"/>
      <c r="AD29" s="562" t="s">
        <v>647</v>
      </c>
    </row>
    <row r="30" spans="2:31" ht="14.45" customHeight="1">
      <c r="D30" s="548"/>
      <c r="F30" s="719" t="s">
        <v>649</v>
      </c>
      <c r="G30" s="720"/>
      <c r="H30" s="720"/>
      <c r="I30" s="720"/>
      <c r="J30" s="721"/>
      <c r="N30" s="535" t="s">
        <v>650</v>
      </c>
      <c r="O30" s="536"/>
      <c r="P30" s="543"/>
      <c r="Q30" s="543"/>
      <c r="R30" s="561"/>
      <c r="S30" s="543"/>
      <c r="T30" s="543"/>
      <c r="U30" s="562" t="s">
        <v>647</v>
      </c>
      <c r="X30" s="535" t="s">
        <v>650</v>
      </c>
      <c r="Y30" s="543"/>
      <c r="Z30" s="543"/>
      <c r="AA30" s="561"/>
      <c r="AB30" s="543"/>
      <c r="AC30" s="543"/>
      <c r="AD30" s="562" t="s">
        <v>647</v>
      </c>
    </row>
    <row r="31" spans="2:31" ht="14.45" customHeight="1" thickBot="1">
      <c r="F31" s="722"/>
      <c r="G31" s="723"/>
      <c r="H31" s="723"/>
      <c r="I31" s="723"/>
      <c r="J31" s="724"/>
      <c r="N31" s="563" t="s">
        <v>651</v>
      </c>
      <c r="O31" s="564"/>
      <c r="P31" s="564"/>
      <c r="Q31" s="564"/>
      <c r="R31" s="564"/>
      <c r="S31" s="564"/>
      <c r="T31" s="564"/>
      <c r="U31" s="562" t="s">
        <v>647</v>
      </c>
      <c r="X31" s="563" t="s">
        <v>651</v>
      </c>
      <c r="Y31" s="564"/>
      <c r="Z31" s="564"/>
      <c r="AA31" s="564"/>
      <c r="AB31" s="564"/>
      <c r="AC31" s="564"/>
      <c r="AD31" s="562" t="s">
        <v>647</v>
      </c>
    </row>
    <row r="32" spans="2:31" ht="14.45" customHeight="1" thickBot="1">
      <c r="F32" s="722"/>
      <c r="G32" s="723"/>
      <c r="H32" s="723"/>
      <c r="I32" s="723"/>
      <c r="J32" s="724"/>
      <c r="N32" s="565" t="s">
        <v>652</v>
      </c>
      <c r="O32" s="566"/>
      <c r="P32" s="567"/>
      <c r="Q32" s="567"/>
      <c r="R32" s="566"/>
      <c r="S32" s="567"/>
      <c r="T32" s="567"/>
      <c r="U32" s="568">
        <f>U5+U7+U8+U9+U10+U11+U12+U13+U14+U15+U16+U17+U18+U19+U20+U22+U23+U24+U25+U26</f>
        <v>4787384.8781403862</v>
      </c>
      <c r="X32" s="565" t="s">
        <v>653</v>
      </c>
      <c r="Y32" s="567"/>
      <c r="Z32" s="567"/>
      <c r="AA32" s="566"/>
      <c r="AB32" s="567"/>
      <c r="AC32" s="567"/>
      <c r="AD32" s="568">
        <f>AD5+AD7+AD8+AD9+AD10+AD11+AD12+AD13+AD14+AD15+AD16+AD17+AD18+AD19+AD20+AD22+AD23+AD24+AD26</f>
        <v>513434957.88497251</v>
      </c>
      <c r="AE32" s="569"/>
    </row>
    <row r="33" spans="6:31" ht="14.45" customHeight="1" thickBot="1">
      <c r="F33" s="722"/>
      <c r="G33" s="723"/>
      <c r="H33" s="723"/>
      <c r="I33" s="723"/>
      <c r="J33" s="724"/>
      <c r="N33" s="570" t="s">
        <v>654</v>
      </c>
      <c r="O33" s="571"/>
      <c r="P33" s="572"/>
      <c r="Q33" s="572"/>
      <c r="R33" s="572"/>
      <c r="S33" s="572"/>
      <c r="T33" s="572"/>
      <c r="U33" s="573">
        <f>IFERROR(U32/R5,0)</f>
        <v>11968.462195350965</v>
      </c>
      <c r="X33" s="565" t="s">
        <v>655</v>
      </c>
      <c r="Y33" s="567"/>
      <c r="Z33" s="567"/>
      <c r="AA33" s="566"/>
      <c r="AB33" s="567"/>
      <c r="AC33" s="567"/>
      <c r="AD33" s="568">
        <f>AD32-AD34</f>
        <v>318217992.90780783</v>
      </c>
      <c r="AE33" s="569"/>
    </row>
    <row r="34" spans="6:31" ht="14.45" customHeight="1" thickBot="1">
      <c r="F34" s="725"/>
      <c r="G34" s="726"/>
      <c r="H34" s="726"/>
      <c r="I34" s="726"/>
      <c r="J34" s="727"/>
      <c r="N34" s="570" t="s">
        <v>656</v>
      </c>
      <c r="O34" s="572"/>
      <c r="P34" s="572"/>
      <c r="Q34" s="572"/>
      <c r="R34" s="572"/>
      <c r="S34" s="572"/>
      <c r="T34" s="572"/>
      <c r="U34" s="574">
        <f>IF(U33&gt;0,U33+AD37,0)</f>
        <v>13687.95418016178</v>
      </c>
      <c r="X34" s="565" t="s">
        <v>657</v>
      </c>
      <c r="Y34" s="567"/>
      <c r="Z34" s="567"/>
      <c r="AA34" s="566"/>
      <c r="AB34" s="567"/>
      <c r="AC34" s="567"/>
      <c r="AD34" s="568">
        <f>VLOOKUP(O2,[3]Data!B2:AE6,29,0)</f>
        <v>195216964.97716469</v>
      </c>
    </row>
    <row r="35" spans="6:31" ht="14.1" customHeight="1" thickBot="1">
      <c r="N35" s="624" t="s">
        <v>720</v>
      </c>
      <c r="O35" s="625"/>
      <c r="P35" s="625"/>
      <c r="Q35" s="625"/>
      <c r="R35" s="625"/>
      <c r="S35" s="625"/>
      <c r="T35" s="625"/>
      <c r="U35" s="626">
        <f>U33-P5</f>
        <v>5108.462195350965</v>
      </c>
      <c r="W35" s="536"/>
      <c r="X35" s="570" t="s">
        <v>658</v>
      </c>
      <c r="Y35" s="575"/>
      <c r="Z35" s="575"/>
      <c r="AA35" s="575"/>
      <c r="AB35" s="575"/>
      <c r="AC35" s="575"/>
      <c r="AD35" s="573">
        <f>AD32/AA5</f>
        <v>8714.7080964203469</v>
      </c>
    </row>
    <row r="36" spans="6:31" ht="14.45" customHeight="1" thickBot="1">
      <c r="F36" s="710" t="s">
        <v>659</v>
      </c>
      <c r="G36" s="711"/>
      <c r="H36" s="711"/>
      <c r="I36" s="711"/>
      <c r="J36" s="712"/>
      <c r="N36" s="624" t="s">
        <v>721</v>
      </c>
      <c r="O36" s="625"/>
      <c r="P36" s="625"/>
      <c r="Q36" s="625"/>
      <c r="R36" s="625"/>
      <c r="S36" s="625"/>
      <c r="T36" s="625"/>
      <c r="U36" s="626">
        <f>U34-U33</f>
        <v>1719.4919848108148</v>
      </c>
      <c r="W36" s="536"/>
      <c r="X36" s="577" t="s">
        <v>660</v>
      </c>
      <c r="Y36" s="578"/>
      <c r="Z36" s="578"/>
      <c r="AA36" s="578"/>
      <c r="AB36" s="578"/>
      <c r="AC36" s="579"/>
      <c r="AD36" s="568">
        <f>VLOOKUP($O$2,[3]Data!B2:AE6,30,0)-AD34</f>
        <v>101305435.02283531</v>
      </c>
    </row>
    <row r="37" spans="6:31" ht="14.45" customHeight="1" thickBot="1">
      <c r="F37" s="713"/>
      <c r="G37" s="714"/>
      <c r="H37" s="714"/>
      <c r="I37" s="714"/>
      <c r="J37" s="715"/>
      <c r="N37" s="536"/>
      <c r="O37" s="536"/>
      <c r="U37" s="576"/>
      <c r="V37" s="536"/>
      <c r="W37" s="536"/>
      <c r="X37" s="577" t="s">
        <v>661</v>
      </c>
      <c r="Y37" s="578"/>
      <c r="Z37" s="578"/>
      <c r="AA37" s="578"/>
      <c r="AB37" s="578"/>
      <c r="AC37" s="579"/>
      <c r="AD37" s="580">
        <f>AD36/AA5</f>
        <v>1719.4919848108143</v>
      </c>
    </row>
    <row r="38" spans="6:31" ht="14.1" customHeight="1" thickBot="1">
      <c r="F38" s="713"/>
      <c r="G38" s="714"/>
      <c r="H38" s="714"/>
      <c r="I38" s="714"/>
      <c r="J38" s="715"/>
      <c r="N38" s="728" t="s">
        <v>662</v>
      </c>
      <c r="O38" s="729"/>
      <c r="P38" s="729"/>
      <c r="Q38" s="730"/>
      <c r="W38" s="536"/>
      <c r="X38" s="577" t="s">
        <v>663</v>
      </c>
      <c r="Y38" s="578"/>
      <c r="Z38" s="578"/>
      <c r="AA38" s="578"/>
      <c r="AB38" s="578"/>
      <c r="AC38" s="579"/>
      <c r="AD38" s="580">
        <f>SUM(AD32,AD36)</f>
        <v>614740392.90780783</v>
      </c>
    </row>
    <row r="39" spans="6:31" ht="14.1" customHeight="1" thickBot="1">
      <c r="F39" s="713"/>
      <c r="G39" s="714"/>
      <c r="H39" s="714"/>
      <c r="I39" s="714"/>
      <c r="J39" s="715"/>
      <c r="N39" s="731"/>
      <c r="O39" s="732"/>
      <c r="P39" s="732"/>
      <c r="Q39" s="733"/>
      <c r="W39" s="548"/>
      <c r="X39" s="581" t="s">
        <v>656</v>
      </c>
      <c r="Y39" s="575"/>
      <c r="Z39" s="575"/>
      <c r="AA39" s="575"/>
      <c r="AB39" s="575"/>
      <c r="AC39" s="582"/>
      <c r="AD39" s="583">
        <f>AD38/AA5</f>
        <v>10434.200081231162</v>
      </c>
    </row>
    <row r="40" spans="6:31" ht="13.35" customHeight="1" thickBot="1">
      <c r="F40" s="716"/>
      <c r="G40" s="717"/>
      <c r="H40" s="717"/>
      <c r="I40" s="717"/>
      <c r="J40" s="718"/>
      <c r="N40" s="584"/>
      <c r="O40" s="585" t="s">
        <v>664</v>
      </c>
      <c r="P40" s="586"/>
      <c r="Q40" s="587" t="s">
        <v>665</v>
      </c>
      <c r="R40" s="523" t="s">
        <v>666</v>
      </c>
    </row>
    <row r="41" spans="6:31" ht="13.35" customHeight="1" thickBot="1">
      <c r="N41" s="556" t="s">
        <v>531</v>
      </c>
      <c r="O41" s="588">
        <f>IFERROR(R7/$R$5,$Q41)</f>
        <v>0.26600420837087974</v>
      </c>
      <c r="P41" s="589"/>
      <c r="Q41" s="590">
        <f t="shared" ref="Q41:Q54" si="5">AA7/$AA$5</f>
        <v>0.26600420837087974</v>
      </c>
      <c r="R41" s="591">
        <f>O41-Q41</f>
        <v>0</v>
      </c>
      <c r="X41" s="734" t="s">
        <v>667</v>
      </c>
      <c r="Y41" s="735"/>
      <c r="Z41" s="735"/>
      <c r="AA41" s="735"/>
      <c r="AB41" s="736"/>
    </row>
    <row r="42" spans="6:31" ht="15" customHeight="1" thickBot="1">
      <c r="F42" s="710" t="s">
        <v>668</v>
      </c>
      <c r="G42" s="711"/>
      <c r="H42" s="711"/>
      <c r="I42" s="711"/>
      <c r="J42" s="712"/>
      <c r="N42" s="535" t="s">
        <v>537</v>
      </c>
      <c r="O42" s="592">
        <f>IFERROR(R8/$R$5,$Q42)</f>
        <v>0.39520750846418218</v>
      </c>
      <c r="P42" s="548"/>
      <c r="Q42" s="593">
        <f t="shared" si="5"/>
        <v>0.39520750846418218</v>
      </c>
      <c r="R42" s="591">
        <f t="shared" ref="R42:R54" si="6">O42-Q42</f>
        <v>0</v>
      </c>
      <c r="X42" s="737"/>
      <c r="Y42" s="738"/>
      <c r="Z42" s="738"/>
      <c r="AA42" s="738"/>
      <c r="AB42" s="739"/>
    </row>
    <row r="43" spans="6:31" ht="14.1" customHeight="1" thickBot="1">
      <c r="F43" s="713"/>
      <c r="G43" s="714"/>
      <c r="H43" s="714"/>
      <c r="I43" s="714"/>
      <c r="J43" s="715"/>
      <c r="N43" s="535" t="s">
        <v>540</v>
      </c>
      <c r="O43" s="592">
        <f>IFERROR(R9/$R$5,$Q43)</f>
        <v>1</v>
      </c>
      <c r="P43" s="548"/>
      <c r="Q43" s="593">
        <f t="shared" si="5"/>
        <v>0</v>
      </c>
      <c r="R43" s="591">
        <f t="shared" si="6"/>
        <v>1</v>
      </c>
      <c r="X43" s="594"/>
      <c r="Y43" s="594"/>
      <c r="Z43" s="594"/>
      <c r="AA43" s="594"/>
      <c r="AB43" s="594"/>
    </row>
    <row r="44" spans="6:31" ht="14.1" customHeight="1">
      <c r="F44" s="713"/>
      <c r="G44" s="714"/>
      <c r="H44" s="714"/>
      <c r="I44" s="714"/>
      <c r="J44" s="715"/>
      <c r="N44" s="535" t="s">
        <v>542</v>
      </c>
      <c r="O44" s="592">
        <f>IFERROR(R10/$R$5,$Q44)</f>
        <v>0</v>
      </c>
      <c r="P44" s="548"/>
      <c r="Q44" s="593">
        <f t="shared" si="5"/>
        <v>1.901502186727515E-3</v>
      </c>
      <c r="R44" s="591">
        <f t="shared" si="6"/>
        <v>-1.901502186727515E-3</v>
      </c>
      <c r="X44" s="740" t="s">
        <v>669</v>
      </c>
      <c r="Y44" s="741"/>
      <c r="Z44" s="741"/>
      <c r="AA44" s="741"/>
      <c r="AB44" s="742"/>
    </row>
    <row r="45" spans="6:31" ht="14.1" customHeight="1">
      <c r="F45" s="713"/>
      <c r="G45" s="714"/>
      <c r="H45" s="714"/>
      <c r="I45" s="714"/>
      <c r="J45" s="715"/>
      <c r="N45" s="535" t="s">
        <v>544</v>
      </c>
      <c r="O45" s="592">
        <f>IFERROR(R11/$R$5,$Q45)</f>
        <v>7.4411309271128975E-2</v>
      </c>
      <c r="P45" s="548"/>
      <c r="Q45" s="593">
        <f t="shared" si="5"/>
        <v>7.4411309271128975E-2</v>
      </c>
      <c r="R45" s="591">
        <f t="shared" si="6"/>
        <v>0</v>
      </c>
      <c r="X45" s="743"/>
      <c r="Y45" s="744"/>
      <c r="Z45" s="744"/>
      <c r="AA45" s="744"/>
      <c r="AB45" s="745"/>
    </row>
    <row r="46" spans="6:31" ht="14.45" customHeight="1" thickBot="1">
      <c r="F46" s="713"/>
      <c r="G46" s="714"/>
      <c r="H46" s="714"/>
      <c r="I46" s="714"/>
      <c r="J46" s="715"/>
      <c r="N46" s="535" t="s">
        <v>546</v>
      </c>
      <c r="O46" s="592">
        <f t="shared" ref="O46:O54" si="7">IFERROR(R12/$R$5,$Q46)</f>
        <v>8.0007420745941124E-2</v>
      </c>
      <c r="P46" s="548"/>
      <c r="Q46" s="593">
        <f t="shared" si="5"/>
        <v>8.0007420745941124E-2</v>
      </c>
      <c r="R46" s="591">
        <f t="shared" si="6"/>
        <v>0</v>
      </c>
      <c r="X46" s="746"/>
      <c r="Y46" s="747"/>
      <c r="Z46" s="747"/>
      <c r="AA46" s="747"/>
      <c r="AB46" s="748"/>
    </row>
    <row r="47" spans="6:31" ht="14.1" customHeight="1">
      <c r="F47" s="713"/>
      <c r="G47" s="714"/>
      <c r="H47" s="714"/>
      <c r="I47" s="714"/>
      <c r="J47" s="715"/>
      <c r="N47" s="535" t="s">
        <v>548</v>
      </c>
      <c r="O47" s="592">
        <f t="shared" si="7"/>
        <v>3.3278616930469206E-2</v>
      </c>
      <c r="P47" s="548"/>
      <c r="Q47" s="593">
        <f t="shared" si="5"/>
        <v>3.3278616930469206E-2</v>
      </c>
      <c r="R47" s="591">
        <f t="shared" si="6"/>
        <v>0</v>
      </c>
    </row>
    <row r="48" spans="6:31" ht="14.1" customHeight="1">
      <c r="F48" s="713"/>
      <c r="G48" s="714"/>
      <c r="H48" s="714"/>
      <c r="I48" s="714"/>
      <c r="J48" s="715"/>
      <c r="N48" s="535" t="s">
        <v>550</v>
      </c>
      <c r="O48" s="592">
        <f t="shared" si="7"/>
        <v>3.6964548285853514E-3</v>
      </c>
      <c r="P48" s="548"/>
      <c r="Q48" s="593">
        <f t="shared" si="5"/>
        <v>3.6964548285853514E-3</v>
      </c>
      <c r="R48" s="591">
        <f t="shared" si="6"/>
        <v>0</v>
      </c>
    </row>
    <row r="49" spans="6:18" ht="14.1" customHeight="1" thickBot="1">
      <c r="F49" s="716"/>
      <c r="G49" s="717"/>
      <c r="H49" s="717"/>
      <c r="I49" s="717"/>
      <c r="J49" s="718"/>
      <c r="N49" s="535" t="s">
        <v>552</v>
      </c>
      <c r="O49" s="592">
        <f t="shared" si="7"/>
        <v>5.1385610440371703E-2</v>
      </c>
      <c r="P49" s="548"/>
      <c r="Q49" s="593">
        <f t="shared" si="5"/>
        <v>5.1385610440371703E-2</v>
      </c>
      <c r="R49" s="591">
        <f t="shared" si="6"/>
        <v>0</v>
      </c>
    </row>
    <row r="50" spans="6:18" ht="14.45" customHeight="1">
      <c r="N50" s="535" t="s">
        <v>554</v>
      </c>
      <c r="O50" s="592">
        <f t="shared" si="7"/>
        <v>2.0586459582818968E-2</v>
      </c>
      <c r="P50" s="548"/>
      <c r="Q50" s="593">
        <f t="shared" si="5"/>
        <v>2.0586459582818968E-2</v>
      </c>
      <c r="R50" s="591">
        <f t="shared" si="6"/>
        <v>0</v>
      </c>
    </row>
    <row r="51" spans="6:18" ht="14.1" customHeight="1">
      <c r="N51" s="535" t="s">
        <v>556</v>
      </c>
      <c r="O51" s="592">
        <f t="shared" si="7"/>
        <v>1.8513335362213702E-2</v>
      </c>
      <c r="P51" s="548"/>
      <c r="Q51" s="593">
        <f t="shared" si="5"/>
        <v>1.8513335362213702E-2</v>
      </c>
      <c r="R51" s="591">
        <f t="shared" si="6"/>
        <v>0</v>
      </c>
    </row>
    <row r="52" spans="6:18" ht="14.1" customHeight="1">
      <c r="N52" s="535" t="s">
        <v>558</v>
      </c>
      <c r="O52" s="592">
        <f t="shared" si="7"/>
        <v>4.3774253847560023E-4</v>
      </c>
      <c r="P52" s="548"/>
      <c r="Q52" s="593">
        <f t="shared" si="5"/>
        <v>4.3774253847560018E-4</v>
      </c>
      <c r="R52" s="591">
        <f t="shared" si="6"/>
        <v>0</v>
      </c>
    </row>
    <row r="53" spans="6:18" ht="14.1" customHeight="1">
      <c r="N53" s="535" t="s">
        <v>560</v>
      </c>
      <c r="O53" s="592">
        <f t="shared" si="7"/>
        <v>1.5648404649949394E-2</v>
      </c>
      <c r="P53" s="548"/>
      <c r="Q53" s="593">
        <f t="shared" si="5"/>
        <v>1.5648404649949394E-2</v>
      </c>
      <c r="R53" s="591">
        <f t="shared" si="6"/>
        <v>0</v>
      </c>
    </row>
    <row r="54" spans="6:18" ht="15.75" thickBot="1">
      <c r="N54" s="595" t="s">
        <v>562</v>
      </c>
      <c r="O54" s="596">
        <f t="shared" si="7"/>
        <v>3.282644704970185E-4</v>
      </c>
      <c r="P54" s="597"/>
      <c r="Q54" s="598">
        <f t="shared" si="5"/>
        <v>3.282644704970185E-4</v>
      </c>
      <c r="R54" s="591">
        <f t="shared" si="6"/>
        <v>0</v>
      </c>
    </row>
  </sheetData>
  <mergeCells count="13">
    <mergeCell ref="F30:J34"/>
    <mergeCell ref="F36:J40"/>
    <mergeCell ref="N38:Q39"/>
    <mergeCell ref="X41:AB42"/>
    <mergeCell ref="F42:J49"/>
    <mergeCell ref="X44:AB46"/>
    <mergeCell ref="B3:D25"/>
    <mergeCell ref="F3:J21"/>
    <mergeCell ref="V3:V6"/>
    <mergeCell ref="X3:AD3"/>
    <mergeCell ref="S5:T5"/>
    <mergeCell ref="AB5:AC5"/>
    <mergeCell ref="F23:J28"/>
  </mergeCells>
  <hyperlinks>
    <hyperlink ref="O4" r:id="rId1" xr:uid="{64141703-90E5-440B-ACBF-149708BF9E3C}"/>
  </hyperlinks>
  <pageMargins left="0.7" right="0.7" top="0.75" bottom="0.75" header="0.3" footer="0.3"/>
  <pageSetup orientation="portrait"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389D7-B797-496B-AFAD-C809C44942FC}">
  <sheetPr>
    <tabColor theme="9" tint="0.79998168889431442"/>
  </sheetPr>
  <dimension ref="B1:AE54"/>
  <sheetViews>
    <sheetView showGridLines="0" topLeftCell="M2" zoomScale="85" zoomScaleNormal="85" workbookViewId="0">
      <selection activeCell="O18" sqref="O18"/>
    </sheetView>
  </sheetViews>
  <sheetFormatPr defaultColWidth="9.140625" defaultRowHeight="12.75" outlineLevelCol="1"/>
  <cols>
    <col min="1" max="2" width="9.140625" style="523"/>
    <col min="3" max="3" width="12.7109375" style="523" customWidth="1"/>
    <col min="4" max="4" width="14.140625" style="523" customWidth="1"/>
    <col min="5" max="5" width="5.140625" style="523" customWidth="1"/>
    <col min="6" max="10" width="9.140625" style="523"/>
    <col min="11" max="11" width="8.85546875" style="523" customWidth="1"/>
    <col min="12" max="13" width="1.42578125" style="523" customWidth="1"/>
    <col min="14" max="14" width="32.140625" style="523" customWidth="1"/>
    <col min="15" max="15" width="44.42578125" style="523" bestFit="1" customWidth="1"/>
    <col min="16" max="16" width="12.28515625" style="523" bestFit="1" customWidth="1"/>
    <col min="17" max="17" width="14.28515625" style="523" customWidth="1"/>
    <col min="18" max="18" width="36.42578125" style="523" bestFit="1" customWidth="1"/>
    <col min="19" max="19" width="10" style="523" customWidth="1"/>
    <col min="20" max="20" width="11.28515625" style="523" customWidth="1"/>
    <col min="21" max="21" width="20.140625" style="523" bestFit="1" customWidth="1"/>
    <col min="22" max="22" width="31.28515625" style="523" customWidth="1"/>
    <col min="23" max="23" width="9.140625" style="523" customWidth="1"/>
    <col min="24" max="24" width="20" style="523" customWidth="1" outlineLevel="1"/>
    <col min="25" max="25" width="12.28515625" style="523" customWidth="1" outlineLevel="1"/>
    <col min="26" max="26" width="2.28515625" style="523" customWidth="1" outlineLevel="1"/>
    <col min="27" max="27" width="24.28515625" style="523" customWidth="1" outlineLevel="1"/>
    <col min="28" max="28" width="28.7109375" style="523" customWidth="1"/>
    <col min="29" max="29" width="25.140625" style="523" customWidth="1"/>
    <col min="30" max="30" width="21.28515625" style="523" bestFit="1" customWidth="1"/>
    <col min="31" max="31" width="11.7109375" style="523" bestFit="1" customWidth="1"/>
    <col min="32" max="16384" width="9.140625" style="523"/>
  </cols>
  <sheetData>
    <row r="1" spans="2:30" ht="13.5" thickBot="1"/>
    <row r="2" spans="2:30" ht="18" customHeight="1" thickBot="1">
      <c r="N2" s="524" t="s">
        <v>629</v>
      </c>
      <c r="O2" s="525" t="s">
        <v>630</v>
      </c>
      <c r="Q2" s="526" t="s">
        <v>631</v>
      </c>
      <c r="R2" s="527">
        <v>300</v>
      </c>
    </row>
    <row r="3" spans="2:30" ht="18" customHeight="1" thickBot="1">
      <c r="B3" s="685" t="s">
        <v>632</v>
      </c>
      <c r="C3" s="686"/>
      <c r="D3" s="687"/>
      <c r="F3" s="694" t="s">
        <v>633</v>
      </c>
      <c r="G3" s="695"/>
      <c r="H3" s="695"/>
      <c r="I3" s="695"/>
      <c r="J3" s="696"/>
      <c r="N3" s="528" t="s">
        <v>634</v>
      </c>
      <c r="O3" s="529"/>
      <c r="P3" s="529"/>
      <c r="Q3" s="529"/>
      <c r="R3" s="529"/>
      <c r="S3" s="529"/>
      <c r="T3" s="529"/>
      <c r="U3" s="529"/>
      <c r="V3" s="703" t="s">
        <v>635</v>
      </c>
      <c r="X3" s="706" t="s">
        <v>636</v>
      </c>
      <c r="Y3" s="707"/>
      <c r="Z3" s="707"/>
      <c r="AA3" s="707"/>
      <c r="AB3" s="707"/>
      <c r="AC3" s="707"/>
      <c r="AD3" s="708"/>
    </row>
    <row r="4" spans="2:30" ht="14.45" customHeight="1" thickBot="1">
      <c r="B4" s="688"/>
      <c r="C4" s="689"/>
      <c r="D4" s="690"/>
      <c r="F4" s="697"/>
      <c r="G4" s="698"/>
      <c r="H4" s="698"/>
      <c r="I4" s="698"/>
      <c r="J4" s="699"/>
      <c r="N4" s="530" t="s">
        <v>637</v>
      </c>
      <c r="O4" s="531" t="s">
        <v>638</v>
      </c>
      <c r="P4" s="532" t="s">
        <v>90</v>
      </c>
      <c r="Q4" s="532"/>
      <c r="R4" s="533" t="s">
        <v>526</v>
      </c>
      <c r="S4" s="532"/>
      <c r="T4" s="532"/>
      <c r="U4" s="532" t="s">
        <v>527</v>
      </c>
      <c r="V4" s="704"/>
      <c r="X4" s="530" t="s">
        <v>637</v>
      </c>
      <c r="Y4" s="532" t="s">
        <v>90</v>
      </c>
      <c r="Z4" s="532"/>
      <c r="AA4" s="533" t="s">
        <v>526</v>
      </c>
      <c r="AB4" s="532"/>
      <c r="AC4" s="532"/>
      <c r="AD4" s="534" t="s">
        <v>527</v>
      </c>
    </row>
    <row r="5" spans="2:30" ht="14.45" customHeight="1" thickBot="1">
      <c r="B5" s="688"/>
      <c r="C5" s="689"/>
      <c r="D5" s="690"/>
      <c r="F5" s="697"/>
      <c r="G5" s="698"/>
      <c r="H5" s="698"/>
      <c r="I5" s="698"/>
      <c r="J5" s="699"/>
      <c r="N5" s="535" t="s">
        <v>639</v>
      </c>
      <c r="O5" s="536"/>
      <c r="P5" s="537">
        <v>6860</v>
      </c>
      <c r="Q5" s="537" t="s">
        <v>533</v>
      </c>
      <c r="R5" s="538">
        <f>$R$2</f>
        <v>300</v>
      </c>
      <c r="S5" s="709" t="s">
        <v>535</v>
      </c>
      <c r="T5" s="709"/>
      <c r="U5" s="539">
        <f>IFERROR(P5*R5,0)</f>
        <v>2058000</v>
      </c>
      <c r="V5" s="704"/>
      <c r="X5" s="535" t="s">
        <v>639</v>
      </c>
      <c r="Y5" s="537">
        <v>6860</v>
      </c>
      <c r="Z5" s="537" t="s">
        <v>533</v>
      </c>
      <c r="AA5" s="540">
        <f>VLOOKUP($O$2,[3]Data!$B$2:$AE$6,4,0)</f>
        <v>58915.91</v>
      </c>
      <c r="AB5" s="709" t="s">
        <v>535</v>
      </c>
      <c r="AC5" s="709"/>
      <c r="AD5" s="539">
        <f>AA5*P5</f>
        <v>404163142.60000002</v>
      </c>
    </row>
    <row r="6" spans="2:30" ht="14.45" customHeight="1" thickBot="1">
      <c r="B6" s="688"/>
      <c r="C6" s="689"/>
      <c r="D6" s="690"/>
      <c r="F6" s="697"/>
      <c r="G6" s="698"/>
      <c r="H6" s="698"/>
      <c r="I6" s="698"/>
      <c r="J6" s="699"/>
      <c r="N6" s="530" t="s">
        <v>524</v>
      </c>
      <c r="O6" s="533"/>
      <c r="P6" s="532" t="s">
        <v>525</v>
      </c>
      <c r="Q6" s="532"/>
      <c r="R6" s="533" t="s">
        <v>526</v>
      </c>
      <c r="S6" s="532"/>
      <c r="T6" s="532"/>
      <c r="U6" s="541" t="s">
        <v>527</v>
      </c>
      <c r="V6" s="705"/>
      <c r="X6" s="530" t="s">
        <v>524</v>
      </c>
      <c r="Y6" s="532" t="s">
        <v>525</v>
      </c>
      <c r="Z6" s="532"/>
      <c r="AA6" s="533" t="s">
        <v>526</v>
      </c>
      <c r="AB6" s="532"/>
      <c r="AC6" s="532"/>
      <c r="AD6" s="541" t="s">
        <v>527</v>
      </c>
    </row>
    <row r="7" spans="2:30" ht="14.1" customHeight="1">
      <c r="B7" s="688"/>
      <c r="C7" s="689"/>
      <c r="D7" s="690"/>
      <c r="F7" s="697"/>
      <c r="G7" s="698"/>
      <c r="H7" s="698"/>
      <c r="I7" s="698"/>
      <c r="J7" s="699"/>
      <c r="N7" s="535" t="s">
        <v>531</v>
      </c>
      <c r="O7" s="391" t="s">
        <v>532</v>
      </c>
      <c r="P7" s="542">
        <v>0.25</v>
      </c>
      <c r="Q7" s="542" t="s">
        <v>533</v>
      </c>
      <c r="R7" s="538">
        <f>$R$2*Q41</f>
        <v>79.801262511263914</v>
      </c>
      <c r="S7" s="543" t="s">
        <v>534</v>
      </c>
      <c r="T7" s="543" t="s">
        <v>535</v>
      </c>
      <c r="U7" s="539">
        <f t="shared" ref="U7:U20" si="0">IFERROR(P7*R7*6860,0)</f>
        <v>136859.16520681762</v>
      </c>
      <c r="V7" s="544">
        <f t="shared" ref="V7:V20" si="1">IFERROR((AA7/$AA$5)*$R$5," ")</f>
        <v>79.801262511263914</v>
      </c>
      <c r="X7" s="535" t="s">
        <v>531</v>
      </c>
      <c r="Y7" s="542">
        <v>0.25</v>
      </c>
      <c r="Z7" s="542" t="s">
        <v>533</v>
      </c>
      <c r="AA7" s="540">
        <f>VLOOKUP($O$2,[3]Data!$B$2:$AE$6,5,0)</f>
        <v>15671.88</v>
      </c>
      <c r="AB7" s="543" t="s">
        <v>534</v>
      </c>
      <c r="AC7" s="543" t="s">
        <v>535</v>
      </c>
      <c r="AD7" s="539">
        <f>$AA7*$P$5*$P7</f>
        <v>26877274.199999999</v>
      </c>
    </row>
    <row r="8" spans="2:30" ht="14.45" customHeight="1">
      <c r="B8" s="688"/>
      <c r="C8" s="689"/>
      <c r="D8" s="690"/>
      <c r="F8" s="697"/>
      <c r="G8" s="698"/>
      <c r="H8" s="698"/>
      <c r="I8" s="698"/>
      <c r="J8" s="699"/>
      <c r="N8" s="535" t="s">
        <v>537</v>
      </c>
      <c r="O8" s="391" t="s">
        <v>538</v>
      </c>
      <c r="P8" s="542">
        <v>0.05</v>
      </c>
      <c r="Q8" s="542" t="s">
        <v>533</v>
      </c>
      <c r="R8" s="538">
        <f t="shared" ref="R8:R20" si="2">$R$2*Q42</f>
        <v>118.56225253925466</v>
      </c>
      <c r="S8" s="543" t="s">
        <v>534</v>
      </c>
      <c r="T8" s="543" t="s">
        <v>535</v>
      </c>
      <c r="U8" s="539">
        <f t="shared" si="0"/>
        <v>40666.852620964346</v>
      </c>
      <c r="V8" s="544">
        <f t="shared" si="1"/>
        <v>118.56225253925466</v>
      </c>
      <c r="X8" s="535" t="s">
        <v>537</v>
      </c>
      <c r="Y8" s="542">
        <v>0.05</v>
      </c>
      <c r="Z8" s="542" t="s">
        <v>533</v>
      </c>
      <c r="AA8" s="540">
        <f>VLOOKUP($O$2,[3]Data!$B$2:$AE$6,7,0)</f>
        <v>23284.01</v>
      </c>
      <c r="AB8" s="543" t="s">
        <v>534</v>
      </c>
      <c r="AC8" s="543" t="s">
        <v>535</v>
      </c>
      <c r="AD8" s="539">
        <f t="shared" ref="AD8:AD20" si="3">$AA8*$P$5*$P8</f>
        <v>7986415.4299999997</v>
      </c>
    </row>
    <row r="9" spans="2:30" ht="14.1" customHeight="1">
      <c r="B9" s="688"/>
      <c r="C9" s="689"/>
      <c r="D9" s="690"/>
      <c r="F9" s="697"/>
      <c r="G9" s="698"/>
      <c r="H9" s="698"/>
      <c r="I9" s="698"/>
      <c r="J9" s="699"/>
      <c r="N9" s="535" t="s">
        <v>540</v>
      </c>
      <c r="O9" s="391" t="s">
        <v>541</v>
      </c>
      <c r="P9" s="542">
        <v>0.05</v>
      </c>
      <c r="Q9" s="542" t="s">
        <v>533</v>
      </c>
      <c r="R9" s="545">
        <f>R5</f>
        <v>300</v>
      </c>
      <c r="S9" s="543" t="s">
        <v>534</v>
      </c>
      <c r="T9" s="543" t="s">
        <v>535</v>
      </c>
      <c r="U9" s="539">
        <f t="shared" si="0"/>
        <v>102900</v>
      </c>
      <c r="V9" s="544">
        <f t="shared" si="1"/>
        <v>0</v>
      </c>
      <c r="X9" s="535" t="s">
        <v>540</v>
      </c>
      <c r="Y9" s="542">
        <v>0.05</v>
      </c>
      <c r="Z9" s="542" t="s">
        <v>533</v>
      </c>
      <c r="AA9" s="540">
        <f>VLOOKUP($O$2,[3]Data!$B$2:$AE$6,20,0)</f>
        <v>0</v>
      </c>
      <c r="AB9" s="543" t="s">
        <v>534</v>
      </c>
      <c r="AC9" s="543" t="s">
        <v>535</v>
      </c>
      <c r="AD9" s="539">
        <f t="shared" si="3"/>
        <v>0</v>
      </c>
    </row>
    <row r="10" spans="2:30" ht="15" customHeight="1">
      <c r="B10" s="688"/>
      <c r="C10" s="689"/>
      <c r="D10" s="690"/>
      <c r="F10" s="697"/>
      <c r="G10" s="698"/>
      <c r="H10" s="698"/>
      <c r="I10" s="698"/>
      <c r="J10" s="699"/>
      <c r="N10" s="535" t="s">
        <v>542</v>
      </c>
      <c r="O10" s="399" t="s">
        <v>543</v>
      </c>
      <c r="P10" s="542">
        <v>0.05</v>
      </c>
      <c r="Q10" s="542" t="s">
        <v>533</v>
      </c>
      <c r="R10" s="545">
        <v>0</v>
      </c>
      <c r="S10" s="543" t="s">
        <v>534</v>
      </c>
      <c r="T10" s="543" t="s">
        <v>535</v>
      </c>
      <c r="U10" s="539">
        <f t="shared" si="0"/>
        <v>0</v>
      </c>
      <c r="V10" s="544">
        <f t="shared" si="1"/>
        <v>0.57045065601825451</v>
      </c>
      <c r="X10" s="535" t="s">
        <v>542</v>
      </c>
      <c r="Y10" s="542">
        <v>0.05</v>
      </c>
      <c r="Z10" s="542" t="s">
        <v>533</v>
      </c>
      <c r="AA10" s="540">
        <f>VLOOKUP($O$2,[3]Data!$B$2:$AE$6,19,0)</f>
        <v>112.02873169804147</v>
      </c>
      <c r="AB10" s="543" t="s">
        <v>534</v>
      </c>
      <c r="AC10" s="543" t="s">
        <v>535</v>
      </c>
      <c r="AD10" s="539">
        <f t="shared" si="3"/>
        <v>38425.854972428227</v>
      </c>
    </row>
    <row r="11" spans="2:30" ht="14.1" customHeight="1">
      <c r="B11" s="688"/>
      <c r="C11" s="689"/>
      <c r="D11" s="690"/>
      <c r="F11" s="697"/>
      <c r="G11" s="698"/>
      <c r="H11" s="698"/>
      <c r="I11" s="698"/>
      <c r="J11" s="699"/>
      <c r="N11" s="535" t="s">
        <v>544</v>
      </c>
      <c r="O11" s="391" t="s">
        <v>545</v>
      </c>
      <c r="P11" s="542">
        <v>0.15</v>
      </c>
      <c r="Q11" s="542" t="s">
        <v>533</v>
      </c>
      <c r="R11" s="538">
        <f t="shared" si="2"/>
        <v>22.323392781338693</v>
      </c>
      <c r="S11" s="543" t="s">
        <v>534</v>
      </c>
      <c r="T11" s="543" t="s">
        <v>535</v>
      </c>
      <c r="U11" s="539">
        <f t="shared" si="0"/>
        <v>22970.771171997516</v>
      </c>
      <c r="V11" s="544">
        <f t="shared" si="1"/>
        <v>22.323392781338693</v>
      </c>
      <c r="X11" s="535" t="s">
        <v>544</v>
      </c>
      <c r="Y11" s="542">
        <v>0.15</v>
      </c>
      <c r="Z11" s="542" t="s">
        <v>533</v>
      </c>
      <c r="AA11" s="540">
        <f>VLOOKUP($O$2,[3]Data!$B$2:$AE$6,9,0)</f>
        <v>4384.01</v>
      </c>
      <c r="AB11" s="543" t="s">
        <v>534</v>
      </c>
      <c r="AC11" s="543" t="s">
        <v>535</v>
      </c>
      <c r="AD11" s="539">
        <f t="shared" si="3"/>
        <v>4511146.29</v>
      </c>
    </row>
    <row r="12" spans="2:30" ht="14.45" customHeight="1">
      <c r="B12" s="688"/>
      <c r="C12" s="689"/>
      <c r="D12" s="690"/>
      <c r="F12" s="697"/>
      <c r="G12" s="698"/>
      <c r="H12" s="698"/>
      <c r="I12" s="698"/>
      <c r="J12" s="699"/>
      <c r="N12" s="535" t="s">
        <v>546</v>
      </c>
      <c r="O12" s="399" t="s">
        <v>547</v>
      </c>
      <c r="P12" s="542">
        <v>0.2</v>
      </c>
      <c r="Q12" s="542" t="s">
        <v>533</v>
      </c>
      <c r="R12" s="538">
        <f t="shared" si="2"/>
        <v>24.002226223782337</v>
      </c>
      <c r="S12" s="543" t="s">
        <v>534</v>
      </c>
      <c r="T12" s="543" t="s">
        <v>535</v>
      </c>
      <c r="U12" s="539">
        <f t="shared" si="0"/>
        <v>32931.054379029367</v>
      </c>
      <c r="V12" s="544">
        <f t="shared" si="1"/>
        <v>24.002226223782337</v>
      </c>
      <c r="X12" s="535" t="s">
        <v>546</v>
      </c>
      <c r="Y12" s="542">
        <v>0.2</v>
      </c>
      <c r="Z12" s="542" t="s">
        <v>533</v>
      </c>
      <c r="AA12" s="540">
        <f>VLOOKUP($O$2,[3]Data!$B$2:$AE$6,10,0)</f>
        <v>4713.71</v>
      </c>
      <c r="AB12" s="543" t="s">
        <v>534</v>
      </c>
      <c r="AC12" s="543" t="s">
        <v>535</v>
      </c>
      <c r="AD12" s="539">
        <f t="shared" si="3"/>
        <v>6467210.120000001</v>
      </c>
    </row>
    <row r="13" spans="2:30" ht="18" customHeight="1">
      <c r="B13" s="688"/>
      <c r="C13" s="689"/>
      <c r="D13" s="690"/>
      <c r="F13" s="697"/>
      <c r="G13" s="698"/>
      <c r="H13" s="698"/>
      <c r="I13" s="698"/>
      <c r="J13" s="699"/>
      <c r="N13" s="535" t="s">
        <v>548</v>
      </c>
      <c r="O13" s="391" t="s">
        <v>549</v>
      </c>
      <c r="P13" s="542">
        <v>0.4</v>
      </c>
      <c r="Q13" s="542" t="s">
        <v>533</v>
      </c>
      <c r="R13" s="538">
        <f t="shared" si="2"/>
        <v>9.9835850791407612</v>
      </c>
      <c r="S13" s="543" t="s">
        <v>534</v>
      </c>
      <c r="T13" s="543" t="s">
        <v>535</v>
      </c>
      <c r="U13" s="539">
        <f t="shared" si="0"/>
        <v>27394.957457162251</v>
      </c>
      <c r="V13" s="544">
        <f t="shared" si="1"/>
        <v>9.9835850791407612</v>
      </c>
      <c r="X13" s="535" t="s">
        <v>548</v>
      </c>
      <c r="Y13" s="542">
        <v>0.4</v>
      </c>
      <c r="Z13" s="542" t="s">
        <v>533</v>
      </c>
      <c r="AA13" s="540">
        <f>VLOOKUP($O$2,[3]Data!$B$2:$AE$6,11,0)</f>
        <v>1960.64</v>
      </c>
      <c r="AB13" s="543" t="s">
        <v>534</v>
      </c>
      <c r="AC13" s="543" t="s">
        <v>535</v>
      </c>
      <c r="AD13" s="539">
        <f t="shared" si="3"/>
        <v>5379996.1600000001</v>
      </c>
    </row>
    <row r="14" spans="2:30" ht="16.350000000000001" customHeight="1">
      <c r="B14" s="688"/>
      <c r="C14" s="689"/>
      <c r="D14" s="690"/>
      <c r="F14" s="697"/>
      <c r="G14" s="698"/>
      <c r="H14" s="698"/>
      <c r="I14" s="698"/>
      <c r="J14" s="699"/>
      <c r="N14" s="535" t="s">
        <v>550</v>
      </c>
      <c r="O14" s="399" t="s">
        <v>551</v>
      </c>
      <c r="P14" s="542">
        <v>0.6</v>
      </c>
      <c r="Q14" s="542" t="s">
        <v>533</v>
      </c>
      <c r="R14" s="538">
        <f t="shared" si="2"/>
        <v>1.1089364485756055</v>
      </c>
      <c r="S14" s="543" t="s">
        <v>534</v>
      </c>
      <c r="T14" s="543" t="s">
        <v>535</v>
      </c>
      <c r="U14" s="539">
        <f t="shared" si="0"/>
        <v>4564.3824223371921</v>
      </c>
      <c r="V14" s="544">
        <f t="shared" si="1"/>
        <v>1.1089364485756055</v>
      </c>
      <c r="X14" s="535" t="s">
        <v>550</v>
      </c>
      <c r="Y14" s="542">
        <v>0.6</v>
      </c>
      <c r="Z14" s="542" t="s">
        <v>533</v>
      </c>
      <c r="AA14" s="540">
        <f>VLOOKUP($O$2,[3]Data!$B$2:$AE$6,12,0)</f>
        <v>217.78</v>
      </c>
      <c r="AB14" s="543" t="s">
        <v>534</v>
      </c>
      <c r="AC14" s="543" t="s">
        <v>535</v>
      </c>
      <c r="AD14" s="539">
        <f t="shared" si="3"/>
        <v>896382.48</v>
      </c>
    </row>
    <row r="15" spans="2:30" ht="14.1" customHeight="1">
      <c r="B15" s="688"/>
      <c r="C15" s="689"/>
      <c r="D15" s="690"/>
      <c r="F15" s="697"/>
      <c r="G15" s="698"/>
      <c r="H15" s="698"/>
      <c r="I15" s="698"/>
      <c r="J15" s="699"/>
      <c r="N15" s="535" t="s">
        <v>552</v>
      </c>
      <c r="O15" s="546" t="s">
        <v>553</v>
      </c>
      <c r="P15" s="542">
        <v>0.7</v>
      </c>
      <c r="Q15" s="542" t="s">
        <v>533</v>
      </c>
      <c r="R15" s="538">
        <f t="shared" si="2"/>
        <v>15.415683132111511</v>
      </c>
      <c r="S15" s="543" t="s">
        <v>534</v>
      </c>
      <c r="T15" s="543" t="s">
        <v>535</v>
      </c>
      <c r="U15" s="539">
        <f t="shared" si="0"/>
        <v>74026.11040039947</v>
      </c>
      <c r="V15" s="544">
        <f t="shared" si="1"/>
        <v>15.415683132111511</v>
      </c>
      <c r="X15" s="535" t="s">
        <v>552</v>
      </c>
      <c r="Y15" s="542">
        <v>0.7</v>
      </c>
      <c r="Z15" s="542" t="s">
        <v>533</v>
      </c>
      <c r="AA15" s="540">
        <f>VLOOKUP($O$2,[3]Data!$B$2:$AE$6,13,0)</f>
        <v>3027.43</v>
      </c>
      <c r="AB15" s="543" t="s">
        <v>534</v>
      </c>
      <c r="AC15" s="543" t="s">
        <v>535</v>
      </c>
      <c r="AD15" s="539">
        <f t="shared" si="3"/>
        <v>14537718.859999998</v>
      </c>
    </row>
    <row r="16" spans="2:30" ht="14.1" customHeight="1">
      <c r="B16" s="688"/>
      <c r="C16" s="689"/>
      <c r="D16" s="690"/>
      <c r="F16" s="697"/>
      <c r="G16" s="698"/>
      <c r="H16" s="698"/>
      <c r="I16" s="698"/>
      <c r="J16" s="699"/>
      <c r="N16" s="535" t="s">
        <v>554</v>
      </c>
      <c r="O16" s="391" t="s">
        <v>555</v>
      </c>
      <c r="P16" s="542">
        <v>0.75</v>
      </c>
      <c r="Q16" s="542" t="s">
        <v>533</v>
      </c>
      <c r="R16" s="538">
        <f t="shared" si="2"/>
        <v>6.1759378748456903</v>
      </c>
      <c r="S16" s="543" t="s">
        <v>534</v>
      </c>
      <c r="T16" s="543" t="s">
        <v>535</v>
      </c>
      <c r="U16" s="539">
        <f t="shared" si="0"/>
        <v>31775.200366081077</v>
      </c>
      <c r="V16" s="544">
        <f t="shared" si="1"/>
        <v>6.1759378748456903</v>
      </c>
      <c r="X16" s="535" t="s">
        <v>554</v>
      </c>
      <c r="Y16" s="542">
        <v>0.75</v>
      </c>
      <c r="Z16" s="542" t="s">
        <v>533</v>
      </c>
      <c r="AA16" s="540">
        <f>VLOOKUP($O$2,[3]Data!$B$2:$AE$6,14,0)</f>
        <v>1212.8699999999999</v>
      </c>
      <c r="AB16" s="543" t="s">
        <v>534</v>
      </c>
      <c r="AC16" s="543" t="s">
        <v>535</v>
      </c>
      <c r="AD16" s="539">
        <f t="shared" si="3"/>
        <v>6240216.1499999994</v>
      </c>
    </row>
    <row r="17" spans="2:31" ht="14.1" customHeight="1">
      <c r="B17" s="688"/>
      <c r="C17" s="689"/>
      <c r="D17" s="690"/>
      <c r="F17" s="697"/>
      <c r="G17" s="698"/>
      <c r="H17" s="698"/>
      <c r="I17" s="698"/>
      <c r="J17" s="699"/>
      <c r="N17" s="535" t="s">
        <v>556</v>
      </c>
      <c r="O17" s="391" t="s">
        <v>557</v>
      </c>
      <c r="P17" s="542">
        <v>0.8</v>
      </c>
      <c r="Q17" s="542" t="s">
        <v>533</v>
      </c>
      <c r="R17" s="538">
        <f t="shared" si="2"/>
        <v>5.5540006086641105</v>
      </c>
      <c r="S17" s="543" t="s">
        <v>534</v>
      </c>
      <c r="T17" s="543" t="s">
        <v>535</v>
      </c>
      <c r="U17" s="539">
        <f t="shared" si="0"/>
        <v>30480.355340348637</v>
      </c>
      <c r="V17" s="544">
        <f t="shared" si="1"/>
        <v>5.5540006086641105</v>
      </c>
      <c r="X17" s="535" t="s">
        <v>556</v>
      </c>
      <c r="Y17" s="542">
        <v>0.8</v>
      </c>
      <c r="Z17" s="542" t="s">
        <v>533</v>
      </c>
      <c r="AA17" s="540">
        <f>VLOOKUP($O$2,[3]Data!$B$2:$AE$6,15,0)</f>
        <v>1090.73</v>
      </c>
      <c r="AB17" s="543" t="s">
        <v>534</v>
      </c>
      <c r="AC17" s="543" t="s">
        <v>535</v>
      </c>
      <c r="AD17" s="539">
        <f t="shared" si="3"/>
        <v>5985926.2400000002</v>
      </c>
    </row>
    <row r="18" spans="2:31" ht="14.45" customHeight="1">
      <c r="B18" s="688"/>
      <c r="C18" s="689"/>
      <c r="D18" s="690"/>
      <c r="F18" s="697"/>
      <c r="G18" s="698"/>
      <c r="H18" s="698"/>
      <c r="I18" s="698"/>
      <c r="J18" s="699"/>
      <c r="N18" s="535" t="s">
        <v>558</v>
      </c>
      <c r="O18" s="391" t="s">
        <v>559</v>
      </c>
      <c r="P18" s="542">
        <v>1</v>
      </c>
      <c r="Q18" s="542" t="s">
        <v>533</v>
      </c>
      <c r="R18" s="538">
        <f t="shared" si="2"/>
        <v>0.13132276154268005</v>
      </c>
      <c r="S18" s="543" t="s">
        <v>534</v>
      </c>
      <c r="T18" s="543" t="s">
        <v>535</v>
      </c>
      <c r="U18" s="539">
        <f t="shared" si="0"/>
        <v>900.87414418278513</v>
      </c>
      <c r="V18" s="544">
        <f t="shared" si="1"/>
        <v>0.13132276154268005</v>
      </c>
      <c r="X18" s="535" t="s">
        <v>558</v>
      </c>
      <c r="Y18" s="542">
        <v>1</v>
      </c>
      <c r="Z18" s="542" t="s">
        <v>533</v>
      </c>
      <c r="AA18" s="540">
        <f>VLOOKUP($O$2,[3]Data!$B$2:$AE$6,16,0)</f>
        <v>25.79</v>
      </c>
      <c r="AB18" s="543" t="s">
        <v>534</v>
      </c>
      <c r="AC18" s="543" t="s">
        <v>535</v>
      </c>
      <c r="AD18" s="539">
        <f t="shared" si="3"/>
        <v>176919.4</v>
      </c>
    </row>
    <row r="19" spans="2:31" ht="14.1" customHeight="1">
      <c r="B19" s="688"/>
      <c r="C19" s="689"/>
      <c r="D19" s="690"/>
      <c r="F19" s="697"/>
      <c r="G19" s="698"/>
      <c r="H19" s="698"/>
      <c r="I19" s="698"/>
      <c r="J19" s="699"/>
      <c r="N19" s="535" t="s">
        <v>560</v>
      </c>
      <c r="O19" s="391" t="s">
        <v>561</v>
      </c>
      <c r="P19" s="542">
        <v>1.25</v>
      </c>
      <c r="Q19" s="542" t="s">
        <v>533</v>
      </c>
      <c r="R19" s="538">
        <f t="shared" si="2"/>
        <v>4.6945213949848181</v>
      </c>
      <c r="S19" s="543" t="s">
        <v>534</v>
      </c>
      <c r="T19" s="543" t="s">
        <v>535</v>
      </c>
      <c r="U19" s="539">
        <f t="shared" si="0"/>
        <v>40255.520961994815</v>
      </c>
      <c r="V19" s="544">
        <f t="shared" si="1"/>
        <v>4.6945213949848181</v>
      </c>
      <c r="X19" s="535" t="s">
        <v>560</v>
      </c>
      <c r="Y19" s="542">
        <v>1.25</v>
      </c>
      <c r="Z19" s="542" t="s">
        <v>533</v>
      </c>
      <c r="AA19" s="540">
        <f>VLOOKUP($O$2,[3]Data!$B$2:$AE$6,17,0)</f>
        <v>921.94</v>
      </c>
      <c r="AB19" s="543" t="s">
        <v>534</v>
      </c>
      <c r="AC19" s="543" t="s">
        <v>535</v>
      </c>
      <c r="AD19" s="539">
        <f t="shared" si="3"/>
        <v>7905635.5</v>
      </c>
    </row>
    <row r="20" spans="2:31" ht="14.45" customHeight="1" thickBot="1">
      <c r="B20" s="688"/>
      <c r="C20" s="689"/>
      <c r="D20" s="690"/>
      <c r="F20" s="697"/>
      <c r="G20" s="698"/>
      <c r="H20" s="698"/>
      <c r="I20" s="698"/>
      <c r="J20" s="699"/>
      <c r="N20" s="535" t="s">
        <v>562</v>
      </c>
      <c r="O20" s="391" t="s">
        <v>563</v>
      </c>
      <c r="P20" s="542">
        <v>1.5</v>
      </c>
      <c r="Q20" s="542" t="s">
        <v>533</v>
      </c>
      <c r="R20" s="538">
        <f t="shared" si="2"/>
        <v>9.8479341149105545E-2</v>
      </c>
      <c r="S20" s="543" t="s">
        <v>534</v>
      </c>
      <c r="T20" s="543" t="s">
        <v>535</v>
      </c>
      <c r="U20" s="539">
        <f t="shared" si="0"/>
        <v>1013.352420424296</v>
      </c>
      <c r="V20" s="544">
        <f t="shared" si="1"/>
        <v>9.8479341149105545E-2</v>
      </c>
      <c r="X20" s="535" t="s">
        <v>562</v>
      </c>
      <c r="Y20" s="542">
        <v>1.5</v>
      </c>
      <c r="Z20" s="542" t="s">
        <v>533</v>
      </c>
      <c r="AA20" s="540">
        <f>VLOOKUP($O$2,[3]Data!$B$2:$AE$6,18,0)</f>
        <v>19.34</v>
      </c>
      <c r="AB20" s="543" t="s">
        <v>534</v>
      </c>
      <c r="AC20" s="543" t="s">
        <v>535</v>
      </c>
      <c r="AD20" s="539">
        <f t="shared" si="3"/>
        <v>199008.59999999998</v>
      </c>
    </row>
    <row r="21" spans="2:31" ht="14.45" customHeight="1" thickBot="1">
      <c r="B21" s="688"/>
      <c r="C21" s="689"/>
      <c r="D21" s="690"/>
      <c r="F21" s="700"/>
      <c r="G21" s="701"/>
      <c r="H21" s="701"/>
      <c r="I21" s="701"/>
      <c r="J21" s="702"/>
      <c r="N21" s="530" t="s">
        <v>564</v>
      </c>
      <c r="O21" s="533"/>
      <c r="P21" s="532"/>
      <c r="Q21" s="532"/>
      <c r="R21" s="533"/>
      <c r="S21" s="532"/>
      <c r="T21" s="532"/>
      <c r="U21" s="541"/>
      <c r="V21" s="547"/>
      <c r="X21" s="530" t="s">
        <v>564</v>
      </c>
      <c r="Y21" s="532"/>
      <c r="Z21" s="532"/>
      <c r="AA21" s="533"/>
      <c r="AB21" s="532"/>
      <c r="AC21" s="532"/>
      <c r="AD21" s="541"/>
    </row>
    <row r="22" spans="2:31" ht="17.45" customHeight="1" thickBot="1">
      <c r="B22" s="688"/>
      <c r="C22" s="689"/>
      <c r="D22" s="690"/>
      <c r="N22" s="535" t="s">
        <v>640</v>
      </c>
      <c r="O22" s="548" t="s">
        <v>641</v>
      </c>
      <c r="P22" s="549">
        <v>500</v>
      </c>
      <c r="Q22" s="537" t="s">
        <v>533</v>
      </c>
      <c r="R22" s="538">
        <v>0</v>
      </c>
      <c r="S22" s="543"/>
      <c r="T22" s="543" t="s">
        <v>535</v>
      </c>
      <c r="U22" s="539">
        <f>IFERROR(P22*R22,0)</f>
        <v>0</v>
      </c>
      <c r="V22" s="544">
        <f>IFERROR((AA22/$AA$5)*$R$5," ")</f>
        <v>88.358933945007394</v>
      </c>
      <c r="X22" s="535" t="s">
        <v>640</v>
      </c>
      <c r="Y22" s="537">
        <v>500</v>
      </c>
      <c r="Z22" s="537" t="s">
        <v>533</v>
      </c>
      <c r="AA22" s="540">
        <f>VLOOKUP($O$2,[3]Data!$B$2:$AE$6,27,0)</f>
        <v>17352.490000000002</v>
      </c>
      <c r="AB22" s="543"/>
      <c r="AC22" s="543" t="s">
        <v>535</v>
      </c>
      <c r="AD22" s="539">
        <f>$AA22*$P22</f>
        <v>8676245</v>
      </c>
    </row>
    <row r="23" spans="2:31" ht="14.1" customHeight="1">
      <c r="B23" s="688"/>
      <c r="C23" s="689"/>
      <c r="D23" s="690"/>
      <c r="F23" s="710" t="s">
        <v>642</v>
      </c>
      <c r="G23" s="711"/>
      <c r="H23" s="711"/>
      <c r="I23" s="711"/>
      <c r="J23" s="712"/>
      <c r="N23" s="535" t="s">
        <v>643</v>
      </c>
      <c r="O23" s="548" t="s">
        <v>644</v>
      </c>
      <c r="P23" s="549">
        <v>500</v>
      </c>
      <c r="Q23" s="537" t="s">
        <v>533</v>
      </c>
      <c r="R23" s="538">
        <v>0</v>
      </c>
      <c r="S23" s="543"/>
      <c r="T23" s="543" t="s">
        <v>535</v>
      </c>
      <c r="U23" s="539">
        <f>IFERROR(P23*R23,0)</f>
        <v>0</v>
      </c>
      <c r="V23" s="544">
        <f>IFERROR((AA23/$AA$5)*$R$5," ")</f>
        <v>4.8114847076112373</v>
      </c>
      <c r="X23" s="550" t="s">
        <v>643</v>
      </c>
      <c r="Y23" s="537">
        <v>500</v>
      </c>
      <c r="Z23" s="537" t="s">
        <v>533</v>
      </c>
      <c r="AA23" s="540">
        <f>VLOOKUP($O$2,[3]Data!$B$2:$AE$6,23,0)</f>
        <v>944.91</v>
      </c>
      <c r="AB23" s="543"/>
      <c r="AC23" s="543" t="s">
        <v>535</v>
      </c>
      <c r="AD23" s="539">
        <f t="shared" ref="AD23:AD26" si="4">$AA23*$P23</f>
        <v>472455</v>
      </c>
    </row>
    <row r="24" spans="2:31" ht="14.1" customHeight="1">
      <c r="B24" s="688"/>
      <c r="C24" s="689"/>
      <c r="D24" s="690"/>
      <c r="F24" s="713"/>
      <c r="G24" s="714"/>
      <c r="H24" s="714"/>
      <c r="I24" s="714"/>
      <c r="J24" s="715"/>
      <c r="N24" s="535" t="s">
        <v>565</v>
      </c>
      <c r="O24" s="548" t="s">
        <v>566</v>
      </c>
      <c r="P24" s="549">
        <v>5000</v>
      </c>
      <c r="Q24" s="537" t="s">
        <v>533</v>
      </c>
      <c r="R24" s="538">
        <v>0</v>
      </c>
      <c r="S24" s="543"/>
      <c r="T24" s="543" t="s">
        <v>535</v>
      </c>
      <c r="U24" s="539">
        <f>IFERROR(P24*R24,0)</f>
        <v>0</v>
      </c>
      <c r="V24" s="544">
        <f>IFERROR((AA24/$AA$5)*$R$5," ")</f>
        <v>12.927984987416812</v>
      </c>
      <c r="X24" s="535" t="s">
        <v>565</v>
      </c>
      <c r="Y24" s="537">
        <v>5000</v>
      </c>
      <c r="Z24" s="537" t="s">
        <v>533</v>
      </c>
      <c r="AA24" s="540">
        <f>VLOOKUP($O$2,[3]Data!$B$2:$AE$6,24,0)</f>
        <v>2538.88</v>
      </c>
      <c r="AB24" s="543"/>
      <c r="AC24" s="543" t="s">
        <v>535</v>
      </c>
      <c r="AD24" s="539">
        <f t="shared" si="4"/>
        <v>12694400</v>
      </c>
    </row>
    <row r="25" spans="2:31" ht="14.45" customHeight="1" thickBot="1">
      <c r="B25" s="691"/>
      <c r="C25" s="692"/>
      <c r="D25" s="693"/>
      <c r="F25" s="713"/>
      <c r="G25" s="714"/>
      <c r="H25" s="714"/>
      <c r="I25" s="714"/>
      <c r="J25" s="715"/>
      <c r="N25" s="535" t="s">
        <v>569</v>
      </c>
      <c r="O25" s="548" t="s">
        <v>570</v>
      </c>
      <c r="P25" s="549">
        <v>185.34</v>
      </c>
      <c r="Q25" s="537" t="s">
        <v>533</v>
      </c>
      <c r="R25" s="538">
        <v>0</v>
      </c>
      <c r="S25" s="543"/>
      <c r="T25" s="543" t="s">
        <v>535</v>
      </c>
      <c r="U25" s="539">
        <f>IFERROR(P25*R25,0)</f>
        <v>0</v>
      </c>
      <c r="V25" s="544">
        <f>IFERROR((AA25/$AA$5)*$R$5," ")</f>
        <v>23.057303197048132</v>
      </c>
      <c r="X25" s="535" t="s">
        <v>569</v>
      </c>
      <c r="Y25" s="537">
        <v>185.34</v>
      </c>
      <c r="Z25" s="537" t="s">
        <v>533</v>
      </c>
      <c r="AA25" s="540">
        <f>VLOOKUP($O$2,[3]Data!$B$2:$AE$6,25,0)</f>
        <v>4528.1400000000003</v>
      </c>
      <c r="AB25" s="543"/>
      <c r="AC25" s="543" t="s">
        <v>535</v>
      </c>
      <c r="AD25" s="539">
        <f t="shared" si="4"/>
        <v>839245.46760000009</v>
      </c>
    </row>
    <row r="26" spans="2:31" ht="14.45" customHeight="1" thickBot="1">
      <c r="F26" s="713"/>
      <c r="G26" s="714"/>
      <c r="H26" s="714"/>
      <c r="I26" s="714"/>
      <c r="J26" s="715"/>
      <c r="N26" s="535" t="s">
        <v>572</v>
      </c>
      <c r="O26" s="548" t="s">
        <v>573</v>
      </c>
      <c r="P26" s="549">
        <v>500</v>
      </c>
      <c r="Q26" s="537" t="s">
        <v>533</v>
      </c>
      <c r="R26" s="545">
        <f>R2</f>
        <v>300</v>
      </c>
      <c r="S26" s="543"/>
      <c r="T26" s="543" t="s">
        <v>535</v>
      </c>
      <c r="U26" s="539">
        <f>IFERROR(P26*R26,0)</f>
        <v>150000</v>
      </c>
      <c r="V26" s="544">
        <f>IFERROR((AA26/$AA$5)*$R$5," ")</f>
        <v>2.3060663919134914</v>
      </c>
      <c r="X26" s="551" t="s">
        <v>572</v>
      </c>
      <c r="Y26" s="537">
        <v>500</v>
      </c>
      <c r="Z26" s="537" t="s">
        <v>533</v>
      </c>
      <c r="AA26" s="540">
        <f>VLOOKUP($O$2,[3]Data!$B$2:$AE$6,22,0)</f>
        <v>452.88</v>
      </c>
      <c r="AB26" s="543"/>
      <c r="AC26" s="543" t="s">
        <v>535</v>
      </c>
      <c r="AD26" s="539">
        <f t="shared" si="4"/>
        <v>226440</v>
      </c>
    </row>
    <row r="27" spans="2:31" ht="14.45" customHeight="1" thickBot="1">
      <c r="F27" s="713"/>
      <c r="G27" s="714"/>
      <c r="H27" s="714"/>
      <c r="I27" s="714"/>
      <c r="J27" s="715"/>
      <c r="N27" s="530" t="s">
        <v>645</v>
      </c>
      <c r="O27" s="533"/>
      <c r="P27" s="552"/>
      <c r="Q27" s="552"/>
      <c r="R27" s="553"/>
      <c r="S27" s="552"/>
      <c r="T27" s="552"/>
      <c r="U27" s="554"/>
      <c r="V27" s="555"/>
      <c r="X27" s="530" t="s">
        <v>645</v>
      </c>
      <c r="Y27" s="552"/>
      <c r="Z27" s="552"/>
      <c r="AA27" s="553"/>
      <c r="AB27" s="552"/>
      <c r="AC27" s="552"/>
      <c r="AD27" s="554"/>
    </row>
    <row r="28" spans="2:31" ht="14.45" customHeight="1" thickBot="1">
      <c r="F28" s="716"/>
      <c r="G28" s="717"/>
      <c r="H28" s="717"/>
      <c r="I28" s="717"/>
      <c r="J28" s="718"/>
      <c r="N28" s="556" t="s">
        <v>646</v>
      </c>
      <c r="O28" s="557"/>
      <c r="P28" s="558"/>
      <c r="Q28" s="558"/>
      <c r="R28" s="559"/>
      <c r="S28" s="558"/>
      <c r="T28" s="558"/>
      <c r="U28" s="560" t="s">
        <v>647</v>
      </c>
      <c r="X28" s="556" t="s">
        <v>646</v>
      </c>
      <c r="Y28" s="558"/>
      <c r="Z28" s="558"/>
      <c r="AA28" s="559"/>
      <c r="AB28" s="558"/>
      <c r="AC28" s="558"/>
      <c r="AD28" s="560" t="s">
        <v>647</v>
      </c>
    </row>
    <row r="29" spans="2:31" ht="15.75" thickBot="1">
      <c r="N29" s="535" t="s">
        <v>648</v>
      </c>
      <c r="O29" s="536"/>
      <c r="P29" s="543"/>
      <c r="Q29" s="543"/>
      <c r="R29" s="561"/>
      <c r="S29" s="543"/>
      <c r="T29" s="543"/>
      <c r="U29" s="562" t="s">
        <v>647</v>
      </c>
      <c r="X29" s="535" t="s">
        <v>648</v>
      </c>
      <c r="Y29" s="543"/>
      <c r="Z29" s="543"/>
      <c r="AA29" s="561"/>
      <c r="AB29" s="543"/>
      <c r="AC29" s="543"/>
      <c r="AD29" s="562" t="s">
        <v>647</v>
      </c>
    </row>
    <row r="30" spans="2:31" ht="14.45" customHeight="1">
      <c r="D30" s="548"/>
      <c r="F30" s="719" t="s">
        <v>649</v>
      </c>
      <c r="G30" s="720"/>
      <c r="H30" s="720"/>
      <c r="I30" s="720"/>
      <c r="J30" s="721"/>
      <c r="N30" s="535" t="s">
        <v>650</v>
      </c>
      <c r="O30" s="536"/>
      <c r="P30" s="543"/>
      <c r="Q30" s="543"/>
      <c r="R30" s="561"/>
      <c r="S30" s="543"/>
      <c r="T30" s="543"/>
      <c r="U30" s="562" t="s">
        <v>647</v>
      </c>
      <c r="X30" s="535" t="s">
        <v>650</v>
      </c>
      <c r="Y30" s="543"/>
      <c r="Z30" s="543"/>
      <c r="AA30" s="561"/>
      <c r="AB30" s="543"/>
      <c r="AC30" s="543"/>
      <c r="AD30" s="562" t="s">
        <v>647</v>
      </c>
    </row>
    <row r="31" spans="2:31" ht="14.45" customHeight="1" thickBot="1">
      <c r="F31" s="722"/>
      <c r="G31" s="723"/>
      <c r="H31" s="723"/>
      <c r="I31" s="723"/>
      <c r="J31" s="724"/>
      <c r="N31" s="563" t="s">
        <v>651</v>
      </c>
      <c r="O31" s="564"/>
      <c r="P31" s="564"/>
      <c r="Q31" s="564"/>
      <c r="R31" s="564"/>
      <c r="S31" s="564"/>
      <c r="T31" s="564"/>
      <c r="U31" s="562" t="s">
        <v>647</v>
      </c>
      <c r="X31" s="563" t="s">
        <v>651</v>
      </c>
      <c r="Y31" s="564"/>
      <c r="Z31" s="564"/>
      <c r="AA31" s="564"/>
      <c r="AB31" s="564"/>
      <c r="AC31" s="564"/>
      <c r="AD31" s="562" t="s">
        <v>647</v>
      </c>
    </row>
    <row r="32" spans="2:31" ht="14.45" customHeight="1" thickBot="1">
      <c r="F32" s="722"/>
      <c r="G32" s="723"/>
      <c r="H32" s="723"/>
      <c r="I32" s="723"/>
      <c r="J32" s="724"/>
      <c r="N32" s="565" t="s">
        <v>652</v>
      </c>
      <c r="O32" s="566"/>
      <c r="P32" s="567"/>
      <c r="Q32" s="567"/>
      <c r="R32" s="566"/>
      <c r="S32" s="567"/>
      <c r="T32" s="567"/>
      <c r="U32" s="568">
        <f>U5+U7+U8+U9+U10+U11+U12+U13+U14+U15+U16+U17+U18+U19+U20+U22+U23+U24+U25+U26</f>
        <v>2754738.5968917394</v>
      </c>
      <c r="X32" s="565" t="s">
        <v>653</v>
      </c>
      <c r="Y32" s="567"/>
      <c r="Z32" s="567"/>
      <c r="AA32" s="566"/>
      <c r="AB32" s="567"/>
      <c r="AC32" s="567"/>
      <c r="AD32" s="568">
        <f>AD5+AD7+AD8+AD9+AD10+AD11+AD12+AD13+AD14+AD15+AD16+AD17+AD18+AD19+AD20+AD22+AD23+AD24+AD26</f>
        <v>513434957.88497251</v>
      </c>
      <c r="AE32" s="569"/>
    </row>
    <row r="33" spans="6:31" ht="14.45" customHeight="1" thickBot="1">
      <c r="F33" s="722"/>
      <c r="G33" s="723"/>
      <c r="H33" s="723"/>
      <c r="I33" s="723"/>
      <c r="J33" s="724"/>
      <c r="N33" s="570" t="s">
        <v>654</v>
      </c>
      <c r="O33" s="571"/>
      <c r="P33" s="572"/>
      <c r="Q33" s="572"/>
      <c r="R33" s="572"/>
      <c r="S33" s="572"/>
      <c r="T33" s="572"/>
      <c r="U33" s="573">
        <f>IFERROR(U32/R5,0)</f>
        <v>9182.4619896391305</v>
      </c>
      <c r="X33" s="565" t="s">
        <v>655</v>
      </c>
      <c r="Y33" s="567"/>
      <c r="Z33" s="567"/>
      <c r="AA33" s="566"/>
      <c r="AB33" s="567"/>
      <c r="AC33" s="567"/>
      <c r="AD33" s="568">
        <f>AD32-AD34</f>
        <v>318217992.90780783</v>
      </c>
      <c r="AE33" s="569"/>
    </row>
    <row r="34" spans="6:31" ht="14.45" customHeight="1" thickBot="1">
      <c r="F34" s="725"/>
      <c r="G34" s="726"/>
      <c r="H34" s="726"/>
      <c r="I34" s="726"/>
      <c r="J34" s="727"/>
      <c r="N34" s="570" t="s">
        <v>656</v>
      </c>
      <c r="O34" s="572"/>
      <c r="P34" s="572"/>
      <c r="Q34" s="572"/>
      <c r="R34" s="572"/>
      <c r="S34" s="572"/>
      <c r="T34" s="572"/>
      <c r="U34" s="574">
        <f>IF(U33&gt;0,U33+AD37,0)</f>
        <v>10901.953974449945</v>
      </c>
      <c r="X34" s="565" t="s">
        <v>657</v>
      </c>
      <c r="Y34" s="567"/>
      <c r="Z34" s="567"/>
      <c r="AA34" s="566"/>
      <c r="AB34" s="567"/>
      <c r="AC34" s="567"/>
      <c r="AD34" s="568">
        <f>VLOOKUP(O2,[3]Data!B2:AE6,29,0)</f>
        <v>195216964.97716469</v>
      </c>
    </row>
    <row r="35" spans="6:31" ht="14.1" customHeight="1" thickBot="1">
      <c r="N35" s="624" t="s">
        <v>720</v>
      </c>
      <c r="O35" s="625"/>
      <c r="P35" s="625"/>
      <c r="Q35" s="625"/>
      <c r="R35" s="625"/>
      <c r="S35" s="625"/>
      <c r="T35" s="625"/>
      <c r="U35" s="626">
        <f>U33-P5</f>
        <v>2322.4619896391305</v>
      </c>
      <c r="W35" s="536"/>
      <c r="X35" s="570" t="s">
        <v>658</v>
      </c>
      <c r="Y35" s="575"/>
      <c r="Z35" s="575"/>
      <c r="AA35" s="575"/>
      <c r="AB35" s="575"/>
      <c r="AC35" s="575"/>
      <c r="AD35" s="573">
        <f>AD32/AA5</f>
        <v>8714.7080964203469</v>
      </c>
    </row>
    <row r="36" spans="6:31" ht="14.45" customHeight="1" thickBot="1">
      <c r="F36" s="710" t="s">
        <v>659</v>
      </c>
      <c r="G36" s="711"/>
      <c r="H36" s="711"/>
      <c r="I36" s="711"/>
      <c r="J36" s="712"/>
      <c r="N36" s="624" t="s">
        <v>721</v>
      </c>
      <c r="O36" s="625"/>
      <c r="P36" s="625"/>
      <c r="Q36" s="625"/>
      <c r="R36" s="625"/>
      <c r="S36" s="625"/>
      <c r="T36" s="625"/>
      <c r="U36" s="626">
        <f>U34-U33</f>
        <v>1719.4919848108148</v>
      </c>
      <c r="W36" s="536"/>
      <c r="X36" s="577" t="s">
        <v>660</v>
      </c>
      <c r="Y36" s="578"/>
      <c r="Z36" s="578"/>
      <c r="AA36" s="578"/>
      <c r="AB36" s="578"/>
      <c r="AC36" s="579"/>
      <c r="AD36" s="568">
        <f>VLOOKUP($O$2,[3]Data!B2:AE6,30,0)-AD34</f>
        <v>101305435.02283531</v>
      </c>
    </row>
    <row r="37" spans="6:31" ht="14.45" customHeight="1" thickBot="1">
      <c r="F37" s="713"/>
      <c r="G37" s="714"/>
      <c r="H37" s="714"/>
      <c r="I37" s="714"/>
      <c r="J37" s="715"/>
      <c r="N37" s="536"/>
      <c r="O37" s="536"/>
      <c r="U37" s="576"/>
      <c r="V37" s="536"/>
      <c r="W37" s="536"/>
      <c r="X37" s="577" t="s">
        <v>661</v>
      </c>
      <c r="Y37" s="578"/>
      <c r="Z37" s="578"/>
      <c r="AA37" s="578"/>
      <c r="AB37" s="578"/>
      <c r="AC37" s="579"/>
      <c r="AD37" s="580">
        <f>AD36/AA5</f>
        <v>1719.4919848108143</v>
      </c>
    </row>
    <row r="38" spans="6:31" ht="14.1" customHeight="1" thickBot="1">
      <c r="F38" s="713"/>
      <c r="G38" s="714"/>
      <c r="H38" s="714"/>
      <c r="I38" s="714"/>
      <c r="J38" s="715"/>
      <c r="N38" s="728" t="s">
        <v>662</v>
      </c>
      <c r="O38" s="729"/>
      <c r="P38" s="729"/>
      <c r="Q38" s="730"/>
      <c r="W38" s="536"/>
      <c r="X38" s="577" t="s">
        <v>663</v>
      </c>
      <c r="Y38" s="578"/>
      <c r="Z38" s="578"/>
      <c r="AA38" s="578"/>
      <c r="AB38" s="578"/>
      <c r="AC38" s="579"/>
      <c r="AD38" s="580">
        <f>SUM(AD32,AD36)</f>
        <v>614740392.90780783</v>
      </c>
    </row>
    <row r="39" spans="6:31" ht="14.1" customHeight="1" thickBot="1">
      <c r="F39" s="713"/>
      <c r="G39" s="714"/>
      <c r="H39" s="714"/>
      <c r="I39" s="714"/>
      <c r="J39" s="715"/>
      <c r="N39" s="731"/>
      <c r="O39" s="732"/>
      <c r="P39" s="732"/>
      <c r="Q39" s="733"/>
      <c r="W39" s="548"/>
      <c r="X39" s="581" t="s">
        <v>656</v>
      </c>
      <c r="Y39" s="575"/>
      <c r="Z39" s="575"/>
      <c r="AA39" s="575"/>
      <c r="AB39" s="575"/>
      <c r="AC39" s="582"/>
      <c r="AD39" s="583">
        <f>AD38/AA5</f>
        <v>10434.200081231162</v>
      </c>
    </row>
    <row r="40" spans="6:31" ht="13.35" customHeight="1" thickBot="1">
      <c r="F40" s="716"/>
      <c r="G40" s="717"/>
      <c r="H40" s="717"/>
      <c r="I40" s="717"/>
      <c r="J40" s="718"/>
      <c r="N40" s="584"/>
      <c r="O40" s="585" t="s">
        <v>664</v>
      </c>
      <c r="P40" s="586"/>
      <c r="Q40" s="587" t="s">
        <v>665</v>
      </c>
      <c r="R40" s="523" t="s">
        <v>666</v>
      </c>
    </row>
    <row r="41" spans="6:31" ht="13.35" customHeight="1" thickBot="1">
      <c r="N41" s="556" t="s">
        <v>531</v>
      </c>
      <c r="O41" s="588">
        <f>IFERROR(R7/$R$5,$Q41)</f>
        <v>0.26600420837087974</v>
      </c>
      <c r="P41" s="589"/>
      <c r="Q41" s="590">
        <f t="shared" ref="Q41:Q54" si="5">AA7/$AA$5</f>
        <v>0.26600420837087974</v>
      </c>
      <c r="R41" s="591">
        <f>O41-Q41</f>
        <v>0</v>
      </c>
      <c r="X41" s="734" t="s">
        <v>667</v>
      </c>
      <c r="Y41" s="735"/>
      <c r="Z41" s="735"/>
      <c r="AA41" s="735"/>
      <c r="AB41" s="736"/>
    </row>
    <row r="42" spans="6:31" ht="15" customHeight="1" thickBot="1">
      <c r="F42" s="710" t="s">
        <v>668</v>
      </c>
      <c r="G42" s="711"/>
      <c r="H42" s="711"/>
      <c r="I42" s="711"/>
      <c r="J42" s="712"/>
      <c r="N42" s="535" t="s">
        <v>537</v>
      </c>
      <c r="O42" s="592">
        <f>IFERROR(R8/$R$5,$Q42)</f>
        <v>0.39520750846418218</v>
      </c>
      <c r="P42" s="548"/>
      <c r="Q42" s="593">
        <f t="shared" si="5"/>
        <v>0.39520750846418218</v>
      </c>
      <c r="R42" s="591">
        <f t="shared" ref="R42:R54" si="6">O42-Q42</f>
        <v>0</v>
      </c>
      <c r="X42" s="737"/>
      <c r="Y42" s="738"/>
      <c r="Z42" s="738"/>
      <c r="AA42" s="738"/>
      <c r="AB42" s="739"/>
    </row>
    <row r="43" spans="6:31" ht="14.1" customHeight="1" thickBot="1">
      <c r="F43" s="713"/>
      <c r="G43" s="714"/>
      <c r="H43" s="714"/>
      <c r="I43" s="714"/>
      <c r="J43" s="715"/>
      <c r="N43" s="535" t="s">
        <v>540</v>
      </c>
      <c r="O43" s="592">
        <f>IFERROR(R9/$R$5,$Q43)</f>
        <v>1</v>
      </c>
      <c r="P43" s="548"/>
      <c r="Q43" s="593">
        <f t="shared" si="5"/>
        <v>0</v>
      </c>
      <c r="R43" s="591">
        <f t="shared" si="6"/>
        <v>1</v>
      </c>
      <c r="X43" s="594"/>
      <c r="Y43" s="594"/>
      <c r="Z43" s="594"/>
      <c r="AA43" s="594"/>
      <c r="AB43" s="594"/>
    </row>
    <row r="44" spans="6:31" ht="14.1" customHeight="1">
      <c r="F44" s="713"/>
      <c r="G44" s="714"/>
      <c r="H44" s="714"/>
      <c r="I44" s="714"/>
      <c r="J44" s="715"/>
      <c r="N44" s="535" t="s">
        <v>542</v>
      </c>
      <c r="O44" s="592">
        <f>IFERROR(R10/$R$5,$Q44)</f>
        <v>0</v>
      </c>
      <c r="P44" s="548"/>
      <c r="Q44" s="593">
        <f t="shared" si="5"/>
        <v>1.901502186727515E-3</v>
      </c>
      <c r="R44" s="591">
        <f t="shared" si="6"/>
        <v>-1.901502186727515E-3</v>
      </c>
      <c r="X44" s="740" t="s">
        <v>669</v>
      </c>
      <c r="Y44" s="741"/>
      <c r="Z44" s="741"/>
      <c r="AA44" s="741"/>
      <c r="AB44" s="742"/>
    </row>
    <row r="45" spans="6:31" ht="14.1" customHeight="1">
      <c r="F45" s="713"/>
      <c r="G45" s="714"/>
      <c r="H45" s="714"/>
      <c r="I45" s="714"/>
      <c r="J45" s="715"/>
      <c r="N45" s="535" t="s">
        <v>544</v>
      </c>
      <c r="O45" s="592">
        <f>IFERROR(R11/$R$5,$Q45)</f>
        <v>7.4411309271128975E-2</v>
      </c>
      <c r="P45" s="548"/>
      <c r="Q45" s="593">
        <f t="shared" si="5"/>
        <v>7.4411309271128975E-2</v>
      </c>
      <c r="R45" s="591">
        <f t="shared" si="6"/>
        <v>0</v>
      </c>
      <c r="X45" s="743"/>
      <c r="Y45" s="744"/>
      <c r="Z45" s="744"/>
      <c r="AA45" s="744"/>
      <c r="AB45" s="745"/>
    </row>
    <row r="46" spans="6:31" ht="14.45" customHeight="1" thickBot="1">
      <c r="F46" s="713"/>
      <c r="G46" s="714"/>
      <c r="H46" s="714"/>
      <c r="I46" s="714"/>
      <c r="J46" s="715"/>
      <c r="N46" s="535" t="s">
        <v>546</v>
      </c>
      <c r="O46" s="592">
        <f t="shared" ref="O46:O54" si="7">IFERROR(R12/$R$5,$Q46)</f>
        <v>8.0007420745941124E-2</v>
      </c>
      <c r="P46" s="548"/>
      <c r="Q46" s="593">
        <f t="shared" si="5"/>
        <v>8.0007420745941124E-2</v>
      </c>
      <c r="R46" s="591">
        <f t="shared" si="6"/>
        <v>0</v>
      </c>
      <c r="X46" s="746"/>
      <c r="Y46" s="747"/>
      <c r="Z46" s="747"/>
      <c r="AA46" s="747"/>
      <c r="AB46" s="748"/>
    </row>
    <row r="47" spans="6:31" ht="14.1" customHeight="1">
      <c r="F47" s="713"/>
      <c r="G47" s="714"/>
      <c r="H47" s="714"/>
      <c r="I47" s="714"/>
      <c r="J47" s="715"/>
      <c r="N47" s="535" t="s">
        <v>548</v>
      </c>
      <c r="O47" s="592">
        <f t="shared" si="7"/>
        <v>3.3278616930469206E-2</v>
      </c>
      <c r="P47" s="548"/>
      <c r="Q47" s="593">
        <f t="shared" si="5"/>
        <v>3.3278616930469206E-2</v>
      </c>
      <c r="R47" s="591">
        <f t="shared" si="6"/>
        <v>0</v>
      </c>
    </row>
    <row r="48" spans="6:31" ht="14.1" customHeight="1">
      <c r="F48" s="713"/>
      <c r="G48" s="714"/>
      <c r="H48" s="714"/>
      <c r="I48" s="714"/>
      <c r="J48" s="715"/>
      <c r="N48" s="535" t="s">
        <v>550</v>
      </c>
      <c r="O48" s="592">
        <f t="shared" si="7"/>
        <v>3.6964548285853514E-3</v>
      </c>
      <c r="P48" s="548"/>
      <c r="Q48" s="593">
        <f t="shared" si="5"/>
        <v>3.6964548285853514E-3</v>
      </c>
      <c r="R48" s="591">
        <f t="shared" si="6"/>
        <v>0</v>
      </c>
    </row>
    <row r="49" spans="6:18" ht="14.1" customHeight="1" thickBot="1">
      <c r="F49" s="716"/>
      <c r="G49" s="717"/>
      <c r="H49" s="717"/>
      <c r="I49" s="717"/>
      <c r="J49" s="718"/>
      <c r="N49" s="535" t="s">
        <v>552</v>
      </c>
      <c r="O49" s="592">
        <f t="shared" si="7"/>
        <v>5.1385610440371703E-2</v>
      </c>
      <c r="P49" s="548"/>
      <c r="Q49" s="593">
        <f t="shared" si="5"/>
        <v>5.1385610440371703E-2</v>
      </c>
      <c r="R49" s="591">
        <f t="shared" si="6"/>
        <v>0</v>
      </c>
    </row>
    <row r="50" spans="6:18" ht="14.45" customHeight="1">
      <c r="N50" s="535" t="s">
        <v>554</v>
      </c>
      <c r="O50" s="592">
        <f t="shared" si="7"/>
        <v>2.0586459582818968E-2</v>
      </c>
      <c r="P50" s="548"/>
      <c r="Q50" s="593">
        <f t="shared" si="5"/>
        <v>2.0586459582818968E-2</v>
      </c>
      <c r="R50" s="591">
        <f t="shared" si="6"/>
        <v>0</v>
      </c>
    </row>
    <row r="51" spans="6:18" ht="14.1" customHeight="1">
      <c r="N51" s="535" t="s">
        <v>556</v>
      </c>
      <c r="O51" s="592">
        <f t="shared" si="7"/>
        <v>1.8513335362213702E-2</v>
      </c>
      <c r="P51" s="548"/>
      <c r="Q51" s="593">
        <f t="shared" si="5"/>
        <v>1.8513335362213702E-2</v>
      </c>
      <c r="R51" s="591">
        <f t="shared" si="6"/>
        <v>0</v>
      </c>
    </row>
    <row r="52" spans="6:18" ht="14.1" customHeight="1">
      <c r="N52" s="535" t="s">
        <v>558</v>
      </c>
      <c r="O52" s="592">
        <f t="shared" si="7"/>
        <v>4.3774253847560018E-4</v>
      </c>
      <c r="P52" s="548"/>
      <c r="Q52" s="593">
        <f t="shared" si="5"/>
        <v>4.3774253847560018E-4</v>
      </c>
      <c r="R52" s="591">
        <f t="shared" si="6"/>
        <v>0</v>
      </c>
    </row>
    <row r="53" spans="6:18" ht="14.1" customHeight="1">
      <c r="N53" s="535" t="s">
        <v>560</v>
      </c>
      <c r="O53" s="592">
        <f t="shared" si="7"/>
        <v>1.5648404649949394E-2</v>
      </c>
      <c r="P53" s="548"/>
      <c r="Q53" s="593">
        <f t="shared" si="5"/>
        <v>1.5648404649949394E-2</v>
      </c>
      <c r="R53" s="591">
        <f t="shared" si="6"/>
        <v>0</v>
      </c>
    </row>
    <row r="54" spans="6:18" ht="15.75" thickBot="1">
      <c r="N54" s="595" t="s">
        <v>562</v>
      </c>
      <c r="O54" s="596">
        <f t="shared" si="7"/>
        <v>3.282644704970185E-4</v>
      </c>
      <c r="P54" s="597"/>
      <c r="Q54" s="598">
        <f t="shared" si="5"/>
        <v>3.282644704970185E-4</v>
      </c>
      <c r="R54" s="591">
        <f t="shared" si="6"/>
        <v>0</v>
      </c>
    </row>
  </sheetData>
  <mergeCells count="13">
    <mergeCell ref="F30:J34"/>
    <mergeCell ref="F36:J40"/>
    <mergeCell ref="N38:Q39"/>
    <mergeCell ref="X41:AB42"/>
    <mergeCell ref="F42:J49"/>
    <mergeCell ref="X44:AB46"/>
    <mergeCell ref="B3:D25"/>
    <mergeCell ref="F3:J21"/>
    <mergeCell ref="V3:V6"/>
    <mergeCell ref="X3:AD3"/>
    <mergeCell ref="S5:T5"/>
    <mergeCell ref="AB5:AC5"/>
    <mergeCell ref="F23:J28"/>
  </mergeCells>
  <hyperlinks>
    <hyperlink ref="O4" r:id="rId1" xr:uid="{1EF106A2-6C9E-4329-927F-5A9F44D02173}"/>
  </hyperlinks>
  <pageMargins left="0.7" right="0.7" top="0.75" bottom="0.75" header="0.3" footer="0.3"/>
  <pageSetup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EFD99-2A3F-4E84-911E-487D37CDBD04}">
  <sheetPr>
    <tabColor theme="9" tint="0.79998168889431442"/>
  </sheetPr>
  <dimension ref="B1:AE54"/>
  <sheetViews>
    <sheetView showGridLines="0" topLeftCell="N1" zoomScale="85" zoomScaleNormal="85" workbookViewId="0">
      <selection activeCell="V38" sqref="V38:V40"/>
    </sheetView>
  </sheetViews>
  <sheetFormatPr defaultColWidth="9.140625" defaultRowHeight="12.75" outlineLevelCol="1"/>
  <cols>
    <col min="1" max="2" width="9.140625" style="523"/>
    <col min="3" max="3" width="12.7109375" style="523" customWidth="1"/>
    <col min="4" max="4" width="14.140625" style="523" customWidth="1"/>
    <col min="5" max="5" width="5.140625" style="523" customWidth="1"/>
    <col min="6" max="10" width="9.140625" style="523"/>
    <col min="11" max="11" width="8.85546875" style="523" customWidth="1"/>
    <col min="12" max="13" width="1.42578125" style="523" customWidth="1"/>
    <col min="14" max="14" width="32.140625" style="523" customWidth="1"/>
    <col min="15" max="15" width="48.28515625" style="523" customWidth="1"/>
    <col min="16" max="16" width="12.28515625" style="523" bestFit="1" customWidth="1"/>
    <col min="17" max="17" width="14.28515625" style="523" customWidth="1"/>
    <col min="18" max="18" width="36.42578125" style="523" bestFit="1" customWidth="1"/>
    <col min="19" max="19" width="10" style="523" customWidth="1"/>
    <col min="20" max="20" width="11.28515625" style="523" customWidth="1"/>
    <col min="21" max="21" width="20.140625" style="523" bestFit="1" customWidth="1"/>
    <col min="22" max="22" width="31.28515625" style="523" customWidth="1"/>
    <col min="23" max="23" width="9.140625" style="523" customWidth="1"/>
    <col min="24" max="24" width="20" style="523" customWidth="1" outlineLevel="1"/>
    <col min="25" max="25" width="12.28515625" style="523" customWidth="1" outlineLevel="1"/>
    <col min="26" max="26" width="2.28515625" style="523" customWidth="1" outlineLevel="1"/>
    <col min="27" max="27" width="24.28515625" style="523" customWidth="1" outlineLevel="1"/>
    <col min="28" max="28" width="28.7109375" style="523" customWidth="1"/>
    <col min="29" max="29" width="25.140625" style="523" customWidth="1"/>
    <col min="30" max="30" width="21.28515625" style="523" bestFit="1" customWidth="1"/>
    <col min="31" max="31" width="11.7109375" style="523" bestFit="1" customWidth="1"/>
    <col min="32" max="16384" width="9.140625" style="523"/>
  </cols>
  <sheetData>
    <row r="1" spans="2:30" ht="13.5" thickBot="1"/>
    <row r="2" spans="2:30" ht="18" customHeight="1" thickBot="1">
      <c r="N2" s="524" t="s">
        <v>629</v>
      </c>
      <c r="O2" s="525" t="s">
        <v>630</v>
      </c>
      <c r="Q2" s="526" t="s">
        <v>631</v>
      </c>
      <c r="R2" s="527">
        <v>105</v>
      </c>
    </row>
    <row r="3" spans="2:30" ht="18" customHeight="1" thickBot="1">
      <c r="B3" s="685" t="s">
        <v>632</v>
      </c>
      <c r="C3" s="686"/>
      <c r="D3" s="687"/>
      <c r="F3" s="694" t="s">
        <v>633</v>
      </c>
      <c r="G3" s="695"/>
      <c r="H3" s="695"/>
      <c r="I3" s="695"/>
      <c r="J3" s="696"/>
      <c r="N3" s="528" t="s">
        <v>634</v>
      </c>
      <c r="O3" s="529"/>
      <c r="P3" s="529"/>
      <c r="Q3" s="529"/>
      <c r="R3" s="529"/>
      <c r="S3" s="529"/>
      <c r="T3" s="529"/>
      <c r="U3" s="529"/>
      <c r="V3" s="703" t="s">
        <v>635</v>
      </c>
      <c r="X3" s="706" t="s">
        <v>636</v>
      </c>
      <c r="Y3" s="707"/>
      <c r="Z3" s="707"/>
      <c r="AA3" s="707"/>
      <c r="AB3" s="707"/>
      <c r="AC3" s="707"/>
      <c r="AD3" s="708"/>
    </row>
    <row r="4" spans="2:30" ht="14.45" customHeight="1" thickBot="1">
      <c r="B4" s="688"/>
      <c r="C4" s="689"/>
      <c r="D4" s="690"/>
      <c r="F4" s="697"/>
      <c r="G4" s="698"/>
      <c r="H4" s="698"/>
      <c r="I4" s="698"/>
      <c r="J4" s="699"/>
      <c r="N4" s="530" t="s">
        <v>637</v>
      </c>
      <c r="O4" s="531" t="s">
        <v>638</v>
      </c>
      <c r="P4" s="532" t="s">
        <v>90</v>
      </c>
      <c r="Q4" s="532"/>
      <c r="R4" s="533" t="s">
        <v>526</v>
      </c>
      <c r="S4" s="532"/>
      <c r="T4" s="532"/>
      <c r="U4" s="532" t="s">
        <v>527</v>
      </c>
      <c r="V4" s="704"/>
      <c r="X4" s="530" t="s">
        <v>637</v>
      </c>
      <c r="Y4" s="532" t="s">
        <v>90</v>
      </c>
      <c r="Z4" s="532"/>
      <c r="AA4" s="533" t="s">
        <v>526</v>
      </c>
      <c r="AB4" s="532"/>
      <c r="AC4" s="532"/>
      <c r="AD4" s="534" t="s">
        <v>527</v>
      </c>
    </row>
    <row r="5" spans="2:30" ht="14.45" customHeight="1" thickBot="1">
      <c r="B5" s="688"/>
      <c r="C5" s="689"/>
      <c r="D5" s="690"/>
      <c r="F5" s="697"/>
      <c r="G5" s="698"/>
      <c r="H5" s="698"/>
      <c r="I5" s="698"/>
      <c r="J5" s="699"/>
      <c r="N5" s="535" t="s">
        <v>639</v>
      </c>
      <c r="O5" s="536"/>
      <c r="P5" s="537">
        <v>6860</v>
      </c>
      <c r="Q5" s="537" t="s">
        <v>533</v>
      </c>
      <c r="R5" s="538">
        <f>$R$2</f>
        <v>105</v>
      </c>
      <c r="S5" s="709" t="s">
        <v>535</v>
      </c>
      <c r="T5" s="709"/>
      <c r="U5" s="539">
        <f>IFERROR(P5*R5,0)</f>
        <v>720300</v>
      </c>
      <c r="V5" s="704"/>
      <c r="X5" s="535" t="s">
        <v>639</v>
      </c>
      <c r="Y5" s="537">
        <v>6860</v>
      </c>
      <c r="Z5" s="537" t="s">
        <v>533</v>
      </c>
      <c r="AA5" s="540">
        <f>VLOOKUP($O$2,[3]Data!$B$2:$AE$6,4,0)</f>
        <v>58915.91</v>
      </c>
      <c r="AB5" s="709" t="s">
        <v>535</v>
      </c>
      <c r="AC5" s="709"/>
      <c r="AD5" s="539">
        <f>AA5*P5</f>
        <v>404163142.60000002</v>
      </c>
    </row>
    <row r="6" spans="2:30" ht="14.45" customHeight="1" thickBot="1">
      <c r="B6" s="688"/>
      <c r="C6" s="689"/>
      <c r="D6" s="690"/>
      <c r="F6" s="697"/>
      <c r="G6" s="698"/>
      <c r="H6" s="698"/>
      <c r="I6" s="698"/>
      <c r="J6" s="699"/>
      <c r="N6" s="530" t="s">
        <v>524</v>
      </c>
      <c r="O6" s="533"/>
      <c r="P6" s="532" t="s">
        <v>525</v>
      </c>
      <c r="Q6" s="532"/>
      <c r="R6" s="533" t="s">
        <v>526</v>
      </c>
      <c r="S6" s="532"/>
      <c r="T6" s="532"/>
      <c r="U6" s="541" t="s">
        <v>527</v>
      </c>
      <c r="V6" s="705"/>
      <c r="X6" s="530" t="s">
        <v>524</v>
      </c>
      <c r="Y6" s="532" t="s">
        <v>525</v>
      </c>
      <c r="Z6" s="532"/>
      <c r="AA6" s="533" t="s">
        <v>526</v>
      </c>
      <c r="AB6" s="532"/>
      <c r="AC6" s="532"/>
      <c r="AD6" s="541" t="s">
        <v>527</v>
      </c>
    </row>
    <row r="7" spans="2:30" ht="14.1" customHeight="1">
      <c r="B7" s="688"/>
      <c r="C7" s="689"/>
      <c r="D7" s="690"/>
      <c r="F7" s="697"/>
      <c r="G7" s="698"/>
      <c r="H7" s="698"/>
      <c r="I7" s="698"/>
      <c r="J7" s="699"/>
      <c r="N7" s="535" t="s">
        <v>531</v>
      </c>
      <c r="O7" s="391" t="s">
        <v>532</v>
      </c>
      <c r="P7" s="542">
        <v>0.25</v>
      </c>
      <c r="Q7" s="542" t="s">
        <v>533</v>
      </c>
      <c r="R7" s="538">
        <f>$R$2*Q41</f>
        <v>27.930441878942371</v>
      </c>
      <c r="S7" s="543" t="s">
        <v>534</v>
      </c>
      <c r="T7" s="543" t="s">
        <v>535</v>
      </c>
      <c r="U7" s="539">
        <f t="shared" ref="U7:U20" si="0">IFERROR(P7*R7*6860,0)</f>
        <v>47900.707822386168</v>
      </c>
      <c r="V7" s="544">
        <f t="shared" ref="V7:V20" si="1">IFERROR((AA7/$AA$5)*$R$5," ")</f>
        <v>27.930441878942371</v>
      </c>
      <c r="X7" s="535" t="s">
        <v>531</v>
      </c>
      <c r="Y7" s="542">
        <v>0.25</v>
      </c>
      <c r="Z7" s="542" t="s">
        <v>533</v>
      </c>
      <c r="AA7" s="540">
        <f>VLOOKUP($O$2,[3]Data!$B$2:$AE$6,5,0)</f>
        <v>15671.88</v>
      </c>
      <c r="AB7" s="543" t="s">
        <v>534</v>
      </c>
      <c r="AC7" s="543" t="s">
        <v>535</v>
      </c>
      <c r="AD7" s="539">
        <f>$AA7*$P$5*$P7</f>
        <v>26877274.199999999</v>
      </c>
    </row>
    <row r="8" spans="2:30" ht="14.45" customHeight="1">
      <c r="B8" s="688"/>
      <c r="C8" s="689"/>
      <c r="D8" s="690"/>
      <c r="F8" s="697"/>
      <c r="G8" s="698"/>
      <c r="H8" s="698"/>
      <c r="I8" s="698"/>
      <c r="J8" s="699"/>
      <c r="N8" s="535" t="s">
        <v>537</v>
      </c>
      <c r="O8" s="391" t="s">
        <v>538</v>
      </c>
      <c r="P8" s="542">
        <v>0.05</v>
      </c>
      <c r="Q8" s="542" t="s">
        <v>533</v>
      </c>
      <c r="R8" s="538">
        <f t="shared" ref="R8:R20" si="2">$R$2*Q42</f>
        <v>41.496788388739127</v>
      </c>
      <c r="S8" s="543" t="s">
        <v>534</v>
      </c>
      <c r="T8" s="543" t="s">
        <v>535</v>
      </c>
      <c r="U8" s="539">
        <f t="shared" si="0"/>
        <v>14233.398417337523</v>
      </c>
      <c r="V8" s="544">
        <f t="shared" si="1"/>
        <v>41.496788388739127</v>
      </c>
      <c r="X8" s="535" t="s">
        <v>537</v>
      </c>
      <c r="Y8" s="542">
        <v>0.05</v>
      </c>
      <c r="Z8" s="542" t="s">
        <v>533</v>
      </c>
      <c r="AA8" s="540">
        <f>VLOOKUP($O$2,[3]Data!$B$2:$AE$6,7,0)</f>
        <v>23284.01</v>
      </c>
      <c r="AB8" s="543" t="s">
        <v>534</v>
      </c>
      <c r="AC8" s="543" t="s">
        <v>535</v>
      </c>
      <c r="AD8" s="539">
        <f t="shared" ref="AD8:AD20" si="3">$AA8*$P$5*$P8</f>
        <v>7986415.4299999997</v>
      </c>
    </row>
    <row r="9" spans="2:30" ht="14.1" customHeight="1">
      <c r="B9" s="688"/>
      <c r="C9" s="689"/>
      <c r="D9" s="690"/>
      <c r="F9" s="697"/>
      <c r="G9" s="698"/>
      <c r="H9" s="698"/>
      <c r="I9" s="698"/>
      <c r="J9" s="699"/>
      <c r="N9" s="535" t="s">
        <v>540</v>
      </c>
      <c r="O9" s="391" t="s">
        <v>541</v>
      </c>
      <c r="P9" s="542">
        <v>0.05</v>
      </c>
      <c r="Q9" s="542" t="s">
        <v>533</v>
      </c>
      <c r="R9" s="545">
        <f>R5</f>
        <v>105</v>
      </c>
      <c r="S9" s="543" t="s">
        <v>534</v>
      </c>
      <c r="T9" s="543" t="s">
        <v>535</v>
      </c>
      <c r="U9" s="539">
        <f t="shared" si="0"/>
        <v>36015</v>
      </c>
      <c r="V9" s="544">
        <f t="shared" si="1"/>
        <v>0</v>
      </c>
      <c r="X9" s="535" t="s">
        <v>540</v>
      </c>
      <c r="Y9" s="542">
        <v>0.05</v>
      </c>
      <c r="Z9" s="542" t="s">
        <v>533</v>
      </c>
      <c r="AA9" s="540">
        <f>VLOOKUP($O$2,[3]Data!$B$2:$AE$6,20,0)</f>
        <v>0</v>
      </c>
      <c r="AB9" s="543" t="s">
        <v>534</v>
      </c>
      <c r="AC9" s="543" t="s">
        <v>535</v>
      </c>
      <c r="AD9" s="539">
        <f t="shared" si="3"/>
        <v>0</v>
      </c>
    </row>
    <row r="10" spans="2:30" ht="15" customHeight="1">
      <c r="B10" s="688"/>
      <c r="C10" s="689"/>
      <c r="D10" s="690"/>
      <c r="F10" s="697"/>
      <c r="G10" s="698"/>
      <c r="H10" s="698"/>
      <c r="I10" s="698"/>
      <c r="J10" s="699"/>
      <c r="N10" s="535" t="s">
        <v>542</v>
      </c>
      <c r="O10" s="399" t="s">
        <v>543</v>
      </c>
      <c r="P10" s="542">
        <v>0.05</v>
      </c>
      <c r="Q10" s="542" t="s">
        <v>533</v>
      </c>
      <c r="R10" s="545">
        <v>0</v>
      </c>
      <c r="S10" s="543" t="s">
        <v>534</v>
      </c>
      <c r="T10" s="543" t="s">
        <v>535</v>
      </c>
      <c r="U10" s="539">
        <f t="shared" si="0"/>
        <v>0</v>
      </c>
      <c r="V10" s="544">
        <f t="shared" si="1"/>
        <v>0.19965772960638908</v>
      </c>
      <c r="X10" s="535" t="s">
        <v>542</v>
      </c>
      <c r="Y10" s="542">
        <v>0.05</v>
      </c>
      <c r="Z10" s="542" t="s">
        <v>533</v>
      </c>
      <c r="AA10" s="540">
        <f>VLOOKUP($O$2,[3]Data!$B$2:$AE$6,19,0)</f>
        <v>112.02873169804147</v>
      </c>
      <c r="AB10" s="543" t="s">
        <v>534</v>
      </c>
      <c r="AC10" s="543" t="s">
        <v>535</v>
      </c>
      <c r="AD10" s="539">
        <f t="shared" si="3"/>
        <v>38425.854972428227</v>
      </c>
    </row>
    <row r="11" spans="2:30" ht="14.1" customHeight="1">
      <c r="B11" s="688"/>
      <c r="C11" s="689"/>
      <c r="D11" s="690"/>
      <c r="F11" s="697"/>
      <c r="G11" s="698"/>
      <c r="H11" s="698"/>
      <c r="I11" s="698"/>
      <c r="J11" s="699"/>
      <c r="N11" s="535" t="s">
        <v>544</v>
      </c>
      <c r="O11" s="391" t="s">
        <v>545</v>
      </c>
      <c r="P11" s="542">
        <v>0.15</v>
      </c>
      <c r="Q11" s="542" t="s">
        <v>533</v>
      </c>
      <c r="R11" s="538">
        <f t="shared" si="2"/>
        <v>7.8131874734685427</v>
      </c>
      <c r="S11" s="543" t="s">
        <v>534</v>
      </c>
      <c r="T11" s="543" t="s">
        <v>535</v>
      </c>
      <c r="U11" s="539">
        <f t="shared" si="0"/>
        <v>8039.7699101991302</v>
      </c>
      <c r="V11" s="544">
        <f t="shared" si="1"/>
        <v>7.8131874734685427</v>
      </c>
      <c r="X11" s="535" t="s">
        <v>544</v>
      </c>
      <c r="Y11" s="542">
        <v>0.15</v>
      </c>
      <c r="Z11" s="542" t="s">
        <v>533</v>
      </c>
      <c r="AA11" s="540">
        <f>VLOOKUP($O$2,[3]Data!$B$2:$AE$6,9,0)</f>
        <v>4384.01</v>
      </c>
      <c r="AB11" s="543" t="s">
        <v>534</v>
      </c>
      <c r="AC11" s="543" t="s">
        <v>535</v>
      </c>
      <c r="AD11" s="539">
        <f t="shared" si="3"/>
        <v>4511146.29</v>
      </c>
    </row>
    <row r="12" spans="2:30" ht="14.45" customHeight="1">
      <c r="B12" s="688"/>
      <c r="C12" s="689"/>
      <c r="D12" s="690"/>
      <c r="F12" s="697"/>
      <c r="G12" s="698"/>
      <c r="H12" s="698"/>
      <c r="I12" s="698"/>
      <c r="J12" s="699"/>
      <c r="N12" s="535" t="s">
        <v>546</v>
      </c>
      <c r="O12" s="399" t="s">
        <v>547</v>
      </c>
      <c r="P12" s="542">
        <v>0.2</v>
      </c>
      <c r="Q12" s="542" t="s">
        <v>533</v>
      </c>
      <c r="R12" s="538">
        <f t="shared" si="2"/>
        <v>8.4007791783238179</v>
      </c>
      <c r="S12" s="543" t="s">
        <v>534</v>
      </c>
      <c r="T12" s="543" t="s">
        <v>535</v>
      </c>
      <c r="U12" s="539">
        <f t="shared" si="0"/>
        <v>11525.869032660279</v>
      </c>
      <c r="V12" s="544">
        <f t="shared" si="1"/>
        <v>8.4007791783238179</v>
      </c>
      <c r="X12" s="535" t="s">
        <v>546</v>
      </c>
      <c r="Y12" s="542">
        <v>0.2</v>
      </c>
      <c r="Z12" s="542" t="s">
        <v>533</v>
      </c>
      <c r="AA12" s="540">
        <f>VLOOKUP($O$2,[3]Data!$B$2:$AE$6,10,0)</f>
        <v>4713.71</v>
      </c>
      <c r="AB12" s="543" t="s">
        <v>534</v>
      </c>
      <c r="AC12" s="543" t="s">
        <v>535</v>
      </c>
      <c r="AD12" s="539">
        <f t="shared" si="3"/>
        <v>6467210.120000001</v>
      </c>
    </row>
    <row r="13" spans="2:30" ht="18" customHeight="1">
      <c r="B13" s="688"/>
      <c r="C13" s="689"/>
      <c r="D13" s="690"/>
      <c r="F13" s="697"/>
      <c r="G13" s="698"/>
      <c r="H13" s="698"/>
      <c r="I13" s="698"/>
      <c r="J13" s="699"/>
      <c r="N13" s="535" t="s">
        <v>548</v>
      </c>
      <c r="O13" s="391" t="s">
        <v>549</v>
      </c>
      <c r="P13" s="542">
        <v>0.4</v>
      </c>
      <c r="Q13" s="542" t="s">
        <v>533</v>
      </c>
      <c r="R13" s="538">
        <f t="shared" si="2"/>
        <v>3.4942547776992665</v>
      </c>
      <c r="S13" s="543" t="s">
        <v>534</v>
      </c>
      <c r="T13" s="543" t="s">
        <v>535</v>
      </c>
      <c r="U13" s="539">
        <f t="shared" si="0"/>
        <v>9588.2351100067881</v>
      </c>
      <c r="V13" s="544">
        <f t="shared" si="1"/>
        <v>3.4942547776992665</v>
      </c>
      <c r="X13" s="535" t="s">
        <v>548</v>
      </c>
      <c r="Y13" s="542">
        <v>0.4</v>
      </c>
      <c r="Z13" s="542" t="s">
        <v>533</v>
      </c>
      <c r="AA13" s="540">
        <f>VLOOKUP($O$2,[3]Data!$B$2:$AE$6,11,0)</f>
        <v>1960.64</v>
      </c>
      <c r="AB13" s="543" t="s">
        <v>534</v>
      </c>
      <c r="AC13" s="543" t="s">
        <v>535</v>
      </c>
      <c r="AD13" s="539">
        <f t="shared" si="3"/>
        <v>5379996.1600000001</v>
      </c>
    </row>
    <row r="14" spans="2:30" ht="16.350000000000001" customHeight="1">
      <c r="B14" s="688"/>
      <c r="C14" s="689"/>
      <c r="D14" s="690"/>
      <c r="F14" s="697"/>
      <c r="G14" s="698"/>
      <c r="H14" s="698"/>
      <c r="I14" s="698"/>
      <c r="J14" s="699"/>
      <c r="N14" s="535" t="s">
        <v>550</v>
      </c>
      <c r="O14" s="399" t="s">
        <v>551</v>
      </c>
      <c r="P14" s="542">
        <v>0.6</v>
      </c>
      <c r="Q14" s="542" t="s">
        <v>533</v>
      </c>
      <c r="R14" s="538">
        <f t="shared" si="2"/>
        <v>0.3881277570014619</v>
      </c>
      <c r="S14" s="543" t="s">
        <v>534</v>
      </c>
      <c r="T14" s="543" t="s">
        <v>535</v>
      </c>
      <c r="U14" s="539">
        <f t="shared" si="0"/>
        <v>1597.5338478180172</v>
      </c>
      <c r="V14" s="544">
        <f t="shared" si="1"/>
        <v>0.3881277570014619</v>
      </c>
      <c r="X14" s="535" t="s">
        <v>550</v>
      </c>
      <c r="Y14" s="542">
        <v>0.6</v>
      </c>
      <c r="Z14" s="542" t="s">
        <v>533</v>
      </c>
      <c r="AA14" s="540">
        <f>VLOOKUP($O$2,[3]Data!$B$2:$AE$6,12,0)</f>
        <v>217.78</v>
      </c>
      <c r="AB14" s="543" t="s">
        <v>534</v>
      </c>
      <c r="AC14" s="543" t="s">
        <v>535</v>
      </c>
      <c r="AD14" s="539">
        <f t="shared" si="3"/>
        <v>896382.48</v>
      </c>
    </row>
    <row r="15" spans="2:30" ht="14.1" customHeight="1">
      <c r="B15" s="688"/>
      <c r="C15" s="689"/>
      <c r="D15" s="690"/>
      <c r="F15" s="697"/>
      <c r="G15" s="698"/>
      <c r="H15" s="698"/>
      <c r="I15" s="698"/>
      <c r="J15" s="699"/>
      <c r="N15" s="535" t="s">
        <v>552</v>
      </c>
      <c r="O15" s="546" t="s">
        <v>553</v>
      </c>
      <c r="P15" s="542">
        <v>0.7</v>
      </c>
      <c r="Q15" s="542" t="s">
        <v>533</v>
      </c>
      <c r="R15" s="538">
        <f t="shared" si="2"/>
        <v>5.3954890962390287</v>
      </c>
      <c r="S15" s="543" t="s">
        <v>534</v>
      </c>
      <c r="T15" s="543" t="s">
        <v>535</v>
      </c>
      <c r="U15" s="539">
        <f t="shared" si="0"/>
        <v>25909.138640139816</v>
      </c>
      <c r="V15" s="544">
        <f t="shared" si="1"/>
        <v>5.3954890962390287</v>
      </c>
      <c r="X15" s="535" t="s">
        <v>552</v>
      </c>
      <c r="Y15" s="542">
        <v>0.7</v>
      </c>
      <c r="Z15" s="542" t="s">
        <v>533</v>
      </c>
      <c r="AA15" s="540">
        <f>VLOOKUP($O$2,[3]Data!$B$2:$AE$6,13,0)</f>
        <v>3027.43</v>
      </c>
      <c r="AB15" s="543" t="s">
        <v>534</v>
      </c>
      <c r="AC15" s="543" t="s">
        <v>535</v>
      </c>
      <c r="AD15" s="539">
        <f t="shared" si="3"/>
        <v>14537718.859999998</v>
      </c>
    </row>
    <row r="16" spans="2:30" ht="14.1" customHeight="1">
      <c r="B16" s="688"/>
      <c r="C16" s="689"/>
      <c r="D16" s="690"/>
      <c r="F16" s="697"/>
      <c r="G16" s="698"/>
      <c r="H16" s="698"/>
      <c r="I16" s="698"/>
      <c r="J16" s="699"/>
      <c r="N16" s="535" t="s">
        <v>554</v>
      </c>
      <c r="O16" s="391" t="s">
        <v>555</v>
      </c>
      <c r="P16" s="542">
        <v>0.75</v>
      </c>
      <c r="Q16" s="542" t="s">
        <v>533</v>
      </c>
      <c r="R16" s="538">
        <f t="shared" si="2"/>
        <v>2.1615782561959915</v>
      </c>
      <c r="S16" s="543" t="s">
        <v>534</v>
      </c>
      <c r="T16" s="543" t="s">
        <v>535</v>
      </c>
      <c r="U16" s="539">
        <f t="shared" si="0"/>
        <v>11121.320128128376</v>
      </c>
      <c r="V16" s="544">
        <f t="shared" si="1"/>
        <v>2.1615782561959915</v>
      </c>
      <c r="X16" s="535" t="s">
        <v>554</v>
      </c>
      <c r="Y16" s="542">
        <v>0.75</v>
      </c>
      <c r="Z16" s="542" t="s">
        <v>533</v>
      </c>
      <c r="AA16" s="540">
        <f>VLOOKUP($O$2,[3]Data!$B$2:$AE$6,14,0)</f>
        <v>1212.8699999999999</v>
      </c>
      <c r="AB16" s="543" t="s">
        <v>534</v>
      </c>
      <c r="AC16" s="543" t="s">
        <v>535</v>
      </c>
      <c r="AD16" s="539">
        <f t="shared" si="3"/>
        <v>6240216.1499999994</v>
      </c>
    </row>
    <row r="17" spans="2:31" ht="14.1" customHeight="1">
      <c r="B17" s="688"/>
      <c r="C17" s="689"/>
      <c r="D17" s="690"/>
      <c r="F17" s="697"/>
      <c r="G17" s="698"/>
      <c r="H17" s="698"/>
      <c r="I17" s="698"/>
      <c r="J17" s="699"/>
      <c r="N17" s="535" t="s">
        <v>556</v>
      </c>
      <c r="O17" s="391" t="s">
        <v>557</v>
      </c>
      <c r="P17" s="542">
        <v>0.8</v>
      </c>
      <c r="Q17" s="542" t="s">
        <v>533</v>
      </c>
      <c r="R17" s="538">
        <f t="shared" si="2"/>
        <v>1.9439002130324388</v>
      </c>
      <c r="S17" s="543" t="s">
        <v>534</v>
      </c>
      <c r="T17" s="543" t="s">
        <v>535</v>
      </c>
      <c r="U17" s="539">
        <f t="shared" si="0"/>
        <v>10668.124369122024</v>
      </c>
      <c r="V17" s="544">
        <f t="shared" si="1"/>
        <v>1.9439002130324388</v>
      </c>
      <c r="X17" s="535" t="s">
        <v>556</v>
      </c>
      <c r="Y17" s="542">
        <v>0.8</v>
      </c>
      <c r="Z17" s="542" t="s">
        <v>533</v>
      </c>
      <c r="AA17" s="540">
        <f>VLOOKUP($O$2,[3]Data!$B$2:$AE$6,15,0)</f>
        <v>1090.73</v>
      </c>
      <c r="AB17" s="543" t="s">
        <v>534</v>
      </c>
      <c r="AC17" s="543" t="s">
        <v>535</v>
      </c>
      <c r="AD17" s="539">
        <f t="shared" si="3"/>
        <v>5985926.2400000002</v>
      </c>
    </row>
    <row r="18" spans="2:31" ht="14.45" customHeight="1">
      <c r="B18" s="688"/>
      <c r="C18" s="689"/>
      <c r="D18" s="690"/>
      <c r="F18" s="697"/>
      <c r="G18" s="698"/>
      <c r="H18" s="698"/>
      <c r="I18" s="698"/>
      <c r="J18" s="699"/>
      <c r="N18" s="535" t="s">
        <v>558</v>
      </c>
      <c r="O18" s="391" t="s">
        <v>559</v>
      </c>
      <c r="P18" s="542">
        <v>1</v>
      </c>
      <c r="Q18" s="542" t="s">
        <v>533</v>
      </c>
      <c r="R18" s="538">
        <f t="shared" si="2"/>
        <v>4.5962966539938019E-2</v>
      </c>
      <c r="S18" s="543" t="s">
        <v>534</v>
      </c>
      <c r="T18" s="543" t="s">
        <v>535</v>
      </c>
      <c r="U18" s="539">
        <f t="shared" si="0"/>
        <v>315.3059504639748</v>
      </c>
      <c r="V18" s="544">
        <f t="shared" si="1"/>
        <v>4.5962966539938019E-2</v>
      </c>
      <c r="X18" s="535" t="s">
        <v>558</v>
      </c>
      <c r="Y18" s="542">
        <v>1</v>
      </c>
      <c r="Z18" s="542" t="s">
        <v>533</v>
      </c>
      <c r="AA18" s="540">
        <f>VLOOKUP($O$2,[3]Data!$B$2:$AE$6,16,0)</f>
        <v>25.79</v>
      </c>
      <c r="AB18" s="543" t="s">
        <v>534</v>
      </c>
      <c r="AC18" s="543" t="s">
        <v>535</v>
      </c>
      <c r="AD18" s="539">
        <f t="shared" si="3"/>
        <v>176919.4</v>
      </c>
    </row>
    <row r="19" spans="2:31" ht="14.1" customHeight="1">
      <c r="B19" s="688"/>
      <c r="C19" s="689"/>
      <c r="D19" s="690"/>
      <c r="F19" s="697"/>
      <c r="G19" s="698"/>
      <c r="H19" s="698"/>
      <c r="I19" s="698"/>
      <c r="J19" s="699"/>
      <c r="N19" s="535" t="s">
        <v>560</v>
      </c>
      <c r="O19" s="391" t="s">
        <v>561</v>
      </c>
      <c r="P19" s="542">
        <v>1.25</v>
      </c>
      <c r="Q19" s="542" t="s">
        <v>533</v>
      </c>
      <c r="R19" s="538">
        <f t="shared" si="2"/>
        <v>1.6430824882446864</v>
      </c>
      <c r="S19" s="543" t="s">
        <v>534</v>
      </c>
      <c r="T19" s="543" t="s">
        <v>535</v>
      </c>
      <c r="U19" s="539">
        <f t="shared" si="0"/>
        <v>14089.432336698186</v>
      </c>
      <c r="V19" s="544">
        <f t="shared" si="1"/>
        <v>1.6430824882446864</v>
      </c>
      <c r="X19" s="535" t="s">
        <v>560</v>
      </c>
      <c r="Y19" s="542">
        <v>1.25</v>
      </c>
      <c r="Z19" s="542" t="s">
        <v>533</v>
      </c>
      <c r="AA19" s="540">
        <f>VLOOKUP($O$2,[3]Data!$B$2:$AE$6,17,0)</f>
        <v>921.94</v>
      </c>
      <c r="AB19" s="543" t="s">
        <v>534</v>
      </c>
      <c r="AC19" s="543" t="s">
        <v>535</v>
      </c>
      <c r="AD19" s="539">
        <f t="shared" si="3"/>
        <v>7905635.5</v>
      </c>
    </row>
    <row r="20" spans="2:31" ht="14.45" customHeight="1" thickBot="1">
      <c r="B20" s="688"/>
      <c r="C20" s="689"/>
      <c r="D20" s="690"/>
      <c r="F20" s="697"/>
      <c r="G20" s="698"/>
      <c r="H20" s="698"/>
      <c r="I20" s="698"/>
      <c r="J20" s="699"/>
      <c r="N20" s="535" t="s">
        <v>562</v>
      </c>
      <c r="O20" s="391" t="s">
        <v>563</v>
      </c>
      <c r="P20" s="542">
        <v>1.5</v>
      </c>
      <c r="Q20" s="542" t="s">
        <v>533</v>
      </c>
      <c r="R20" s="538">
        <f t="shared" si="2"/>
        <v>3.4467769402186946E-2</v>
      </c>
      <c r="S20" s="543" t="s">
        <v>534</v>
      </c>
      <c r="T20" s="543" t="s">
        <v>535</v>
      </c>
      <c r="U20" s="539">
        <f t="shared" si="0"/>
        <v>354.67334714850369</v>
      </c>
      <c r="V20" s="544">
        <f t="shared" si="1"/>
        <v>3.4467769402186946E-2</v>
      </c>
      <c r="X20" s="535" t="s">
        <v>562</v>
      </c>
      <c r="Y20" s="542">
        <v>1.5</v>
      </c>
      <c r="Z20" s="542" t="s">
        <v>533</v>
      </c>
      <c r="AA20" s="540">
        <f>VLOOKUP($O$2,[3]Data!$B$2:$AE$6,18,0)</f>
        <v>19.34</v>
      </c>
      <c r="AB20" s="543" t="s">
        <v>534</v>
      </c>
      <c r="AC20" s="543" t="s">
        <v>535</v>
      </c>
      <c r="AD20" s="539">
        <f t="shared" si="3"/>
        <v>199008.59999999998</v>
      </c>
    </row>
    <row r="21" spans="2:31" ht="14.45" customHeight="1" thickBot="1">
      <c r="B21" s="688"/>
      <c r="C21" s="689"/>
      <c r="D21" s="690"/>
      <c r="F21" s="700"/>
      <c r="G21" s="701"/>
      <c r="H21" s="701"/>
      <c r="I21" s="701"/>
      <c r="J21" s="702"/>
      <c r="N21" s="530" t="s">
        <v>564</v>
      </c>
      <c r="O21" s="533"/>
      <c r="P21" s="532"/>
      <c r="Q21" s="532"/>
      <c r="R21" s="533"/>
      <c r="S21" s="532"/>
      <c r="T21" s="532"/>
      <c r="U21" s="541"/>
      <c r="V21" s="547"/>
      <c r="X21" s="530" t="s">
        <v>564</v>
      </c>
      <c r="Y21" s="532"/>
      <c r="Z21" s="532"/>
      <c r="AA21" s="533"/>
      <c r="AB21" s="532"/>
      <c r="AC21" s="532"/>
      <c r="AD21" s="541"/>
    </row>
    <row r="22" spans="2:31" ht="17.45" customHeight="1" thickBot="1">
      <c r="B22" s="688"/>
      <c r="C22" s="689"/>
      <c r="D22" s="690"/>
      <c r="N22" s="535" t="s">
        <v>640</v>
      </c>
      <c r="O22" s="548" t="s">
        <v>641</v>
      </c>
      <c r="P22" s="549">
        <v>500</v>
      </c>
      <c r="Q22" s="537" t="s">
        <v>533</v>
      </c>
      <c r="R22" s="538">
        <v>0</v>
      </c>
      <c r="S22" s="543"/>
      <c r="T22" s="543" t="s">
        <v>535</v>
      </c>
      <c r="U22" s="539">
        <f>IFERROR(P22*R22,0)</f>
        <v>0</v>
      </c>
      <c r="V22" s="544">
        <f>IFERROR((AA22/$AA$5)*$R$5," ")</f>
        <v>30.925626880752588</v>
      </c>
      <c r="X22" s="535" t="s">
        <v>640</v>
      </c>
      <c r="Y22" s="537">
        <v>500</v>
      </c>
      <c r="Z22" s="537" t="s">
        <v>533</v>
      </c>
      <c r="AA22" s="540">
        <f>VLOOKUP($O$2,[3]Data!$B$2:$AE$6,27,0)</f>
        <v>17352.490000000002</v>
      </c>
      <c r="AB22" s="543"/>
      <c r="AC22" s="543" t="s">
        <v>535</v>
      </c>
      <c r="AD22" s="539">
        <f>$AA22*$P22</f>
        <v>8676245</v>
      </c>
    </row>
    <row r="23" spans="2:31" ht="14.1" customHeight="1">
      <c r="B23" s="688"/>
      <c r="C23" s="689"/>
      <c r="D23" s="690"/>
      <c r="F23" s="710" t="s">
        <v>642</v>
      </c>
      <c r="G23" s="711"/>
      <c r="H23" s="711"/>
      <c r="I23" s="711"/>
      <c r="J23" s="712"/>
      <c r="N23" s="535" t="s">
        <v>643</v>
      </c>
      <c r="O23" s="548" t="s">
        <v>644</v>
      </c>
      <c r="P23" s="549">
        <v>500</v>
      </c>
      <c r="Q23" s="537" t="s">
        <v>533</v>
      </c>
      <c r="R23" s="538">
        <v>0</v>
      </c>
      <c r="S23" s="543"/>
      <c r="T23" s="543" t="s">
        <v>535</v>
      </c>
      <c r="U23" s="539">
        <f>IFERROR(P23*R23,0)</f>
        <v>0</v>
      </c>
      <c r="V23" s="544">
        <f>IFERROR((AA23/$AA$5)*$R$5," ")</f>
        <v>1.6840196476639329</v>
      </c>
      <c r="X23" s="550" t="s">
        <v>643</v>
      </c>
      <c r="Y23" s="537">
        <v>500</v>
      </c>
      <c r="Z23" s="537" t="s">
        <v>533</v>
      </c>
      <c r="AA23" s="540">
        <f>VLOOKUP($O$2,[3]Data!$B$2:$AE$6,23,0)</f>
        <v>944.91</v>
      </c>
      <c r="AB23" s="543"/>
      <c r="AC23" s="543" t="s">
        <v>535</v>
      </c>
      <c r="AD23" s="539">
        <f t="shared" ref="AD23:AD26" si="4">$AA23*$P23</f>
        <v>472455</v>
      </c>
    </row>
    <row r="24" spans="2:31" ht="14.1" customHeight="1">
      <c r="B24" s="688"/>
      <c r="C24" s="689"/>
      <c r="D24" s="690"/>
      <c r="F24" s="713"/>
      <c r="G24" s="714"/>
      <c r="H24" s="714"/>
      <c r="I24" s="714"/>
      <c r="J24" s="715"/>
      <c r="N24" s="535" t="s">
        <v>565</v>
      </c>
      <c r="O24" s="548" t="s">
        <v>566</v>
      </c>
      <c r="P24" s="549">
        <v>5000</v>
      </c>
      <c r="Q24" s="537" t="s">
        <v>533</v>
      </c>
      <c r="R24" s="538">
        <v>0</v>
      </c>
      <c r="S24" s="543"/>
      <c r="T24" s="543" t="s">
        <v>535</v>
      </c>
      <c r="U24" s="539">
        <f>IFERROR(P24*R24,0)</f>
        <v>0</v>
      </c>
      <c r="V24" s="544">
        <f>IFERROR((AA24/$AA$5)*$R$5," ")</f>
        <v>4.5247947455958846</v>
      </c>
      <c r="X24" s="535" t="s">
        <v>565</v>
      </c>
      <c r="Y24" s="537">
        <v>5000</v>
      </c>
      <c r="Z24" s="537" t="s">
        <v>533</v>
      </c>
      <c r="AA24" s="540">
        <f>VLOOKUP($O$2,[3]Data!$B$2:$AE$6,24,0)</f>
        <v>2538.88</v>
      </c>
      <c r="AB24" s="543"/>
      <c r="AC24" s="543" t="s">
        <v>535</v>
      </c>
      <c r="AD24" s="539">
        <f t="shared" si="4"/>
        <v>12694400</v>
      </c>
    </row>
    <row r="25" spans="2:31" ht="14.45" customHeight="1" thickBot="1">
      <c r="B25" s="691"/>
      <c r="C25" s="692"/>
      <c r="D25" s="693"/>
      <c r="F25" s="713"/>
      <c r="G25" s="714"/>
      <c r="H25" s="714"/>
      <c r="I25" s="714"/>
      <c r="J25" s="715"/>
      <c r="N25" s="535" t="s">
        <v>569</v>
      </c>
      <c r="O25" s="548" t="s">
        <v>570</v>
      </c>
      <c r="P25" s="549">
        <v>185.34</v>
      </c>
      <c r="Q25" s="537" t="s">
        <v>533</v>
      </c>
      <c r="R25" s="538">
        <v>0</v>
      </c>
      <c r="S25" s="543"/>
      <c r="T25" s="543" t="s">
        <v>535</v>
      </c>
      <c r="U25" s="539">
        <f>IFERROR(P25*R25,0)</f>
        <v>0</v>
      </c>
      <c r="V25" s="544">
        <f>IFERROR((AA25/$AA$5)*$R$5," ")</f>
        <v>8.0700561189668463</v>
      </c>
      <c r="X25" s="535" t="s">
        <v>569</v>
      </c>
      <c r="Y25" s="537">
        <v>185.34</v>
      </c>
      <c r="Z25" s="537" t="s">
        <v>533</v>
      </c>
      <c r="AA25" s="540">
        <f>VLOOKUP($O$2,[3]Data!$B$2:$AE$6,25,0)</f>
        <v>4528.1400000000003</v>
      </c>
      <c r="AB25" s="543"/>
      <c r="AC25" s="543" t="s">
        <v>535</v>
      </c>
      <c r="AD25" s="539">
        <f t="shared" si="4"/>
        <v>839245.46760000009</v>
      </c>
    </row>
    <row r="26" spans="2:31" ht="14.45" customHeight="1" thickBot="1">
      <c r="F26" s="713"/>
      <c r="G26" s="714"/>
      <c r="H26" s="714"/>
      <c r="I26" s="714"/>
      <c r="J26" s="715"/>
      <c r="N26" s="535" t="s">
        <v>572</v>
      </c>
      <c r="O26" s="548" t="s">
        <v>573</v>
      </c>
      <c r="P26" s="549">
        <v>500</v>
      </c>
      <c r="Q26" s="537" t="s">
        <v>533</v>
      </c>
      <c r="R26" s="545">
        <f>R2</f>
        <v>105</v>
      </c>
      <c r="S26" s="543"/>
      <c r="T26" s="543" t="s">
        <v>535</v>
      </c>
      <c r="U26" s="539">
        <f>IFERROR(P26*R26,0)</f>
        <v>52500</v>
      </c>
      <c r="V26" s="544">
        <f>IFERROR((AA26/$AA$5)*$R$5," ")</f>
        <v>0.80712323716972201</v>
      </c>
      <c r="X26" s="551" t="s">
        <v>572</v>
      </c>
      <c r="Y26" s="537">
        <v>500</v>
      </c>
      <c r="Z26" s="537" t="s">
        <v>533</v>
      </c>
      <c r="AA26" s="540">
        <f>VLOOKUP($O$2,[3]Data!$B$2:$AE$6,22,0)</f>
        <v>452.88</v>
      </c>
      <c r="AB26" s="543"/>
      <c r="AC26" s="543" t="s">
        <v>535</v>
      </c>
      <c r="AD26" s="539">
        <f t="shared" si="4"/>
        <v>226440</v>
      </c>
    </row>
    <row r="27" spans="2:31" ht="14.45" customHeight="1" thickBot="1">
      <c r="F27" s="713"/>
      <c r="G27" s="714"/>
      <c r="H27" s="714"/>
      <c r="I27" s="714"/>
      <c r="J27" s="715"/>
      <c r="N27" s="530" t="s">
        <v>645</v>
      </c>
      <c r="O27" s="533"/>
      <c r="P27" s="552"/>
      <c r="Q27" s="552"/>
      <c r="R27" s="553"/>
      <c r="S27" s="552"/>
      <c r="T27" s="552"/>
      <c r="U27" s="554"/>
      <c r="V27" s="555"/>
      <c r="X27" s="530" t="s">
        <v>645</v>
      </c>
      <c r="Y27" s="552"/>
      <c r="Z27" s="552"/>
      <c r="AA27" s="553"/>
      <c r="AB27" s="552"/>
      <c r="AC27" s="552"/>
      <c r="AD27" s="554"/>
    </row>
    <row r="28" spans="2:31" ht="14.45" customHeight="1" thickBot="1">
      <c r="F28" s="716"/>
      <c r="G28" s="717"/>
      <c r="H28" s="717"/>
      <c r="I28" s="717"/>
      <c r="J28" s="718"/>
      <c r="N28" s="556" t="s">
        <v>646</v>
      </c>
      <c r="O28" s="557"/>
      <c r="P28" s="558"/>
      <c r="Q28" s="558"/>
      <c r="R28" s="559"/>
      <c r="S28" s="558"/>
      <c r="T28" s="558"/>
      <c r="U28" s="560" t="s">
        <v>647</v>
      </c>
      <c r="X28" s="556" t="s">
        <v>646</v>
      </c>
      <c r="Y28" s="558"/>
      <c r="Z28" s="558"/>
      <c r="AA28" s="559"/>
      <c r="AB28" s="558"/>
      <c r="AC28" s="558"/>
      <c r="AD28" s="560" t="s">
        <v>647</v>
      </c>
    </row>
    <row r="29" spans="2:31" ht="15.75" thickBot="1">
      <c r="N29" s="535" t="s">
        <v>648</v>
      </c>
      <c r="O29" s="536"/>
      <c r="P29" s="543"/>
      <c r="Q29" s="543"/>
      <c r="R29" s="561"/>
      <c r="S29" s="543"/>
      <c r="T29" s="543"/>
      <c r="U29" s="562" t="s">
        <v>647</v>
      </c>
      <c r="X29" s="535" t="s">
        <v>648</v>
      </c>
      <c r="Y29" s="543"/>
      <c r="Z29" s="543"/>
      <c r="AA29" s="561"/>
      <c r="AB29" s="543"/>
      <c r="AC29" s="543"/>
      <c r="AD29" s="562" t="s">
        <v>647</v>
      </c>
    </row>
    <row r="30" spans="2:31" ht="14.45" customHeight="1">
      <c r="D30" s="548"/>
      <c r="F30" s="719" t="s">
        <v>649</v>
      </c>
      <c r="G30" s="720"/>
      <c r="H30" s="720"/>
      <c r="I30" s="720"/>
      <c r="J30" s="721"/>
      <c r="N30" s="535" t="s">
        <v>650</v>
      </c>
      <c r="O30" s="536"/>
      <c r="P30" s="543"/>
      <c r="Q30" s="543"/>
      <c r="R30" s="561"/>
      <c r="S30" s="543"/>
      <c r="T30" s="543"/>
      <c r="U30" s="562" t="s">
        <v>647</v>
      </c>
      <c r="X30" s="535" t="s">
        <v>650</v>
      </c>
      <c r="Y30" s="543"/>
      <c r="Z30" s="543"/>
      <c r="AA30" s="561"/>
      <c r="AB30" s="543"/>
      <c r="AC30" s="543"/>
      <c r="AD30" s="562" t="s">
        <v>647</v>
      </c>
    </row>
    <row r="31" spans="2:31" ht="14.45" customHeight="1" thickBot="1">
      <c r="F31" s="722"/>
      <c r="G31" s="723"/>
      <c r="H31" s="723"/>
      <c r="I31" s="723"/>
      <c r="J31" s="724"/>
      <c r="N31" s="563" t="s">
        <v>651</v>
      </c>
      <c r="O31" s="564"/>
      <c r="P31" s="564"/>
      <c r="Q31" s="564"/>
      <c r="R31" s="564"/>
      <c r="S31" s="564"/>
      <c r="T31" s="564"/>
      <c r="U31" s="562" t="s">
        <v>647</v>
      </c>
      <c r="X31" s="563" t="s">
        <v>651</v>
      </c>
      <c r="Y31" s="564"/>
      <c r="Z31" s="564"/>
      <c r="AA31" s="564"/>
      <c r="AB31" s="564"/>
      <c r="AC31" s="564"/>
      <c r="AD31" s="562" t="s">
        <v>647</v>
      </c>
    </row>
    <row r="32" spans="2:31" ht="14.45" customHeight="1" thickBot="1">
      <c r="F32" s="722"/>
      <c r="G32" s="723"/>
      <c r="H32" s="723"/>
      <c r="I32" s="723"/>
      <c r="J32" s="724"/>
      <c r="N32" s="565" t="s">
        <v>652</v>
      </c>
      <c r="O32" s="566"/>
      <c r="P32" s="567"/>
      <c r="Q32" s="567"/>
      <c r="R32" s="566"/>
      <c r="S32" s="567"/>
      <c r="T32" s="567"/>
      <c r="U32" s="568">
        <f>U5+U7+U8+U9+U10+U11+U12+U13+U14+U15+U16+U17+U18+U19+U20+U22+U23+U24+U25+U26</f>
        <v>964158.50891210872</v>
      </c>
      <c r="X32" s="565" t="s">
        <v>653</v>
      </c>
      <c r="Y32" s="567"/>
      <c r="Z32" s="567"/>
      <c r="AA32" s="566"/>
      <c r="AB32" s="567"/>
      <c r="AC32" s="567"/>
      <c r="AD32" s="568">
        <f>AD5+AD7+AD8+AD9+AD10+AD11+AD12+AD13+AD14+AD15+AD16+AD17+AD18+AD19+AD20+AD22+AD23+AD24+AD26</f>
        <v>513434957.88497251</v>
      </c>
      <c r="AE32" s="569"/>
    </row>
    <row r="33" spans="6:31" ht="14.45" customHeight="1" thickBot="1">
      <c r="F33" s="722"/>
      <c r="G33" s="723"/>
      <c r="H33" s="723"/>
      <c r="I33" s="723"/>
      <c r="J33" s="724"/>
      <c r="N33" s="570" t="s">
        <v>654</v>
      </c>
      <c r="O33" s="571"/>
      <c r="P33" s="572"/>
      <c r="Q33" s="572"/>
      <c r="R33" s="572"/>
      <c r="S33" s="572"/>
      <c r="T33" s="572"/>
      <c r="U33" s="642">
        <f>IFERROR(U32/R5,0)</f>
        <v>9182.4619896391305</v>
      </c>
      <c r="X33" s="565" t="s">
        <v>655</v>
      </c>
      <c r="Y33" s="567"/>
      <c r="Z33" s="567"/>
      <c r="AA33" s="566"/>
      <c r="AB33" s="567"/>
      <c r="AC33" s="567"/>
      <c r="AD33" s="568">
        <f>AD32-AD34</f>
        <v>318217992.90780783</v>
      </c>
      <c r="AE33" s="569"/>
    </row>
    <row r="34" spans="6:31" ht="14.45" customHeight="1" thickBot="1">
      <c r="F34" s="725"/>
      <c r="G34" s="726"/>
      <c r="H34" s="726"/>
      <c r="I34" s="726"/>
      <c r="J34" s="727"/>
      <c r="N34" s="570" t="s">
        <v>656</v>
      </c>
      <c r="O34" s="572"/>
      <c r="P34" s="572"/>
      <c r="Q34" s="572"/>
      <c r="R34" s="572"/>
      <c r="S34" s="572"/>
      <c r="T34" s="572"/>
      <c r="U34" s="574">
        <f>IF(U33&gt;0,U33+AD37,0)</f>
        <v>10901.953974449945</v>
      </c>
      <c r="X34" s="565" t="s">
        <v>657</v>
      </c>
      <c r="Y34" s="567"/>
      <c r="Z34" s="567"/>
      <c r="AA34" s="566"/>
      <c r="AB34" s="567"/>
      <c r="AC34" s="567"/>
      <c r="AD34" s="568">
        <f>VLOOKUP(O2,[3]Data!B2:AE6,29,0)</f>
        <v>195216964.97716469</v>
      </c>
    </row>
    <row r="35" spans="6:31" ht="14.1" customHeight="1" thickBot="1">
      <c r="N35" s="624" t="s">
        <v>720</v>
      </c>
      <c r="O35" s="625"/>
      <c r="P35" s="625"/>
      <c r="Q35" s="625"/>
      <c r="R35" s="625"/>
      <c r="S35" s="625"/>
      <c r="T35" s="625"/>
      <c r="U35" s="626">
        <f>U33-P5</f>
        <v>2322.4619896391305</v>
      </c>
      <c r="W35" s="536"/>
      <c r="X35" s="570" t="s">
        <v>658</v>
      </c>
      <c r="Y35" s="575"/>
      <c r="Z35" s="575"/>
      <c r="AA35" s="575"/>
      <c r="AB35" s="575"/>
      <c r="AC35" s="575"/>
      <c r="AD35" s="573">
        <f>AD32/AA5</f>
        <v>8714.7080964203469</v>
      </c>
    </row>
    <row r="36" spans="6:31" ht="14.45" customHeight="1" thickBot="1">
      <c r="F36" s="710" t="s">
        <v>659</v>
      </c>
      <c r="G36" s="711"/>
      <c r="H36" s="711"/>
      <c r="I36" s="711"/>
      <c r="J36" s="712"/>
      <c r="N36" s="624" t="s">
        <v>721</v>
      </c>
      <c r="O36" s="625"/>
      <c r="P36" s="625"/>
      <c r="Q36" s="625"/>
      <c r="R36" s="625"/>
      <c r="S36" s="625"/>
      <c r="T36" s="625"/>
      <c r="U36" s="626">
        <f>U34-U33</f>
        <v>1719.4919848108148</v>
      </c>
      <c r="W36" s="536"/>
      <c r="X36" s="577" t="s">
        <v>660</v>
      </c>
      <c r="Y36" s="578"/>
      <c r="Z36" s="578"/>
      <c r="AA36" s="578"/>
      <c r="AB36" s="578"/>
      <c r="AC36" s="579"/>
      <c r="AD36" s="568">
        <f>VLOOKUP($O$2,[3]Data!B2:AE6,30,0)-AD34</f>
        <v>101305435.02283531</v>
      </c>
    </row>
    <row r="37" spans="6:31" ht="14.45" customHeight="1" thickBot="1">
      <c r="F37" s="713"/>
      <c r="G37" s="714"/>
      <c r="H37" s="714"/>
      <c r="I37" s="714"/>
      <c r="J37" s="715"/>
      <c r="N37" s="536"/>
      <c r="O37" s="536"/>
      <c r="U37" s="576"/>
      <c r="V37" s="643" t="s">
        <v>799</v>
      </c>
      <c r="W37" s="536"/>
      <c r="X37" s="577" t="s">
        <v>661</v>
      </c>
      <c r="Y37" s="578"/>
      <c r="Z37" s="578"/>
      <c r="AA37" s="578"/>
      <c r="AB37" s="578"/>
      <c r="AC37" s="579"/>
      <c r="AD37" s="580">
        <f>AD36/AA5</f>
        <v>1719.4919848108143</v>
      </c>
    </row>
    <row r="38" spans="6:31" ht="14.1" customHeight="1" thickBot="1">
      <c r="F38" s="713"/>
      <c r="G38" s="714"/>
      <c r="H38" s="714"/>
      <c r="I38" s="714"/>
      <c r="J38" s="715"/>
      <c r="N38" s="728" t="s">
        <v>662</v>
      </c>
      <c r="O38" s="729"/>
      <c r="P38" s="729"/>
      <c r="Q38" s="730"/>
      <c r="U38" s="637">
        <f>U5</f>
        <v>720300</v>
      </c>
      <c r="V38" s="639">
        <f>P5</f>
        <v>6860</v>
      </c>
      <c r="W38" s="536"/>
      <c r="X38" s="577" t="s">
        <v>663</v>
      </c>
      <c r="Y38" s="578"/>
      <c r="Z38" s="578"/>
      <c r="AA38" s="578"/>
      <c r="AB38" s="578"/>
      <c r="AC38" s="579"/>
      <c r="AD38" s="580">
        <f>SUM(AD32,AD36)</f>
        <v>614740392.90780783</v>
      </c>
    </row>
    <row r="39" spans="6:31" ht="14.1" customHeight="1" thickBot="1">
      <c r="F39" s="713"/>
      <c r="G39" s="714"/>
      <c r="H39" s="714"/>
      <c r="I39" s="714"/>
      <c r="J39" s="715"/>
      <c r="N39" s="731"/>
      <c r="O39" s="732"/>
      <c r="P39" s="732"/>
      <c r="Q39" s="733"/>
      <c r="U39" s="569">
        <f>SUM(U7:U20)</f>
        <v>191358.50891210878</v>
      </c>
      <c r="V39" s="639">
        <f>U39/R5</f>
        <v>1822.4619896391312</v>
      </c>
      <c r="W39" s="548"/>
      <c r="X39" s="581" t="s">
        <v>656</v>
      </c>
      <c r="Y39" s="575"/>
      <c r="Z39" s="575"/>
      <c r="AA39" s="575"/>
      <c r="AB39" s="575"/>
      <c r="AC39" s="582"/>
      <c r="AD39" s="583">
        <f>AD38/AA5</f>
        <v>10434.200081231162</v>
      </c>
    </row>
    <row r="40" spans="6:31" ht="13.35" customHeight="1" thickBot="1">
      <c r="F40" s="716"/>
      <c r="G40" s="717"/>
      <c r="H40" s="717"/>
      <c r="I40" s="717"/>
      <c r="J40" s="718"/>
      <c r="N40" s="584"/>
      <c r="O40" s="585" t="s">
        <v>664</v>
      </c>
      <c r="P40" s="586"/>
      <c r="Q40" s="587" t="s">
        <v>665</v>
      </c>
      <c r="R40" s="523" t="s">
        <v>666</v>
      </c>
      <c r="U40" s="637">
        <f>U26</f>
        <v>52500</v>
      </c>
      <c r="V40" s="640">
        <f>U40/R5</f>
        <v>500</v>
      </c>
    </row>
    <row r="41" spans="6:31" ht="13.35" customHeight="1" thickBot="1">
      <c r="N41" s="556" t="s">
        <v>531</v>
      </c>
      <c r="O41" s="588">
        <f>IFERROR(R7/$R$5,$Q41)</f>
        <v>0.26600420837087974</v>
      </c>
      <c r="P41" s="589"/>
      <c r="Q41" s="590">
        <f t="shared" ref="Q41:Q54" si="5">AA7/$AA$5</f>
        <v>0.26600420837087974</v>
      </c>
      <c r="R41" s="591">
        <f>O41-Q41</f>
        <v>0</v>
      </c>
      <c r="U41" s="638">
        <f>SUM(U38:U40)</f>
        <v>964158.50891210884</v>
      </c>
      <c r="V41" s="641">
        <f>SUM(V38:V40)</f>
        <v>9182.4619896391305</v>
      </c>
      <c r="X41" s="734" t="s">
        <v>667</v>
      </c>
      <c r="Y41" s="735"/>
      <c r="Z41" s="735"/>
      <c r="AA41" s="735"/>
      <c r="AB41" s="736"/>
    </row>
    <row r="42" spans="6:31" ht="15" customHeight="1" thickBot="1">
      <c r="F42" s="710" t="s">
        <v>668</v>
      </c>
      <c r="G42" s="711"/>
      <c r="H42" s="711"/>
      <c r="I42" s="711"/>
      <c r="J42" s="712"/>
      <c r="N42" s="535" t="s">
        <v>537</v>
      </c>
      <c r="O42" s="592">
        <f>IFERROR(R8/$R$5,$Q42)</f>
        <v>0.39520750846418218</v>
      </c>
      <c r="P42" s="548"/>
      <c r="Q42" s="593">
        <f t="shared" si="5"/>
        <v>0.39520750846418218</v>
      </c>
      <c r="R42" s="591">
        <f t="shared" ref="R42:R54" si="6">O42-Q42</f>
        <v>0</v>
      </c>
      <c r="X42" s="737"/>
      <c r="Y42" s="738"/>
      <c r="Z42" s="738"/>
      <c r="AA42" s="738"/>
      <c r="AB42" s="739"/>
    </row>
    <row r="43" spans="6:31" ht="14.1" customHeight="1" thickBot="1">
      <c r="F43" s="713"/>
      <c r="G43" s="714"/>
      <c r="H43" s="714"/>
      <c r="I43" s="714"/>
      <c r="J43" s="715"/>
      <c r="N43" s="535" t="s">
        <v>540</v>
      </c>
      <c r="O43" s="592">
        <f>IFERROR(R9/$R$5,$Q43)</f>
        <v>1</v>
      </c>
      <c r="P43" s="548"/>
      <c r="Q43" s="593">
        <f t="shared" si="5"/>
        <v>0</v>
      </c>
      <c r="R43" s="591">
        <f t="shared" si="6"/>
        <v>1</v>
      </c>
      <c r="X43" s="594"/>
      <c r="Y43" s="594"/>
      <c r="Z43" s="594"/>
      <c r="AA43" s="594"/>
      <c r="AB43" s="594"/>
    </row>
    <row r="44" spans="6:31" ht="14.1" customHeight="1">
      <c r="F44" s="713"/>
      <c r="G44" s="714"/>
      <c r="H44" s="714"/>
      <c r="I44" s="714"/>
      <c r="J44" s="715"/>
      <c r="N44" s="535" t="s">
        <v>542</v>
      </c>
      <c r="O44" s="592">
        <f>IFERROR(R10/$R$5,$Q44)</f>
        <v>0</v>
      </c>
      <c r="P44" s="548"/>
      <c r="Q44" s="593">
        <f t="shared" si="5"/>
        <v>1.901502186727515E-3</v>
      </c>
      <c r="R44" s="591">
        <f t="shared" si="6"/>
        <v>-1.901502186727515E-3</v>
      </c>
      <c r="X44" s="740" t="s">
        <v>669</v>
      </c>
      <c r="Y44" s="741"/>
      <c r="Z44" s="741"/>
      <c r="AA44" s="741"/>
      <c r="AB44" s="742"/>
    </row>
    <row r="45" spans="6:31" ht="14.1" customHeight="1">
      <c r="F45" s="713"/>
      <c r="G45" s="714"/>
      <c r="H45" s="714"/>
      <c r="I45" s="714"/>
      <c r="J45" s="715"/>
      <c r="N45" s="535" t="s">
        <v>544</v>
      </c>
      <c r="O45" s="592">
        <f>IFERROR(R11/$R$5,$Q45)</f>
        <v>7.4411309271128975E-2</v>
      </c>
      <c r="P45" s="548"/>
      <c r="Q45" s="593">
        <f t="shared" si="5"/>
        <v>7.4411309271128975E-2</v>
      </c>
      <c r="R45" s="591">
        <f t="shared" si="6"/>
        <v>0</v>
      </c>
      <c r="X45" s="743"/>
      <c r="Y45" s="744"/>
      <c r="Z45" s="744"/>
      <c r="AA45" s="744"/>
      <c r="AB45" s="745"/>
    </row>
    <row r="46" spans="6:31" ht="14.45" customHeight="1" thickBot="1">
      <c r="F46" s="713"/>
      <c r="G46" s="714"/>
      <c r="H46" s="714"/>
      <c r="I46" s="714"/>
      <c r="J46" s="715"/>
      <c r="N46" s="535" t="s">
        <v>546</v>
      </c>
      <c r="O46" s="592">
        <f t="shared" ref="O46:O54" si="7">IFERROR(R12/$R$5,$Q46)</f>
        <v>8.0007420745941124E-2</v>
      </c>
      <c r="P46" s="548"/>
      <c r="Q46" s="593">
        <f t="shared" si="5"/>
        <v>8.0007420745941124E-2</v>
      </c>
      <c r="R46" s="591">
        <f t="shared" si="6"/>
        <v>0</v>
      </c>
      <c r="X46" s="746"/>
      <c r="Y46" s="747"/>
      <c r="Z46" s="747"/>
      <c r="AA46" s="747"/>
      <c r="AB46" s="748"/>
    </row>
    <row r="47" spans="6:31" ht="14.1" customHeight="1">
      <c r="F47" s="713"/>
      <c r="G47" s="714"/>
      <c r="H47" s="714"/>
      <c r="I47" s="714"/>
      <c r="J47" s="715"/>
      <c r="N47" s="535" t="s">
        <v>548</v>
      </c>
      <c r="O47" s="592">
        <f t="shared" si="7"/>
        <v>3.3278616930469206E-2</v>
      </c>
      <c r="P47" s="548"/>
      <c r="Q47" s="593">
        <f t="shared" si="5"/>
        <v>3.3278616930469206E-2</v>
      </c>
      <c r="R47" s="591">
        <f t="shared" si="6"/>
        <v>0</v>
      </c>
    </row>
    <row r="48" spans="6:31" ht="14.1" customHeight="1">
      <c r="F48" s="713"/>
      <c r="G48" s="714"/>
      <c r="H48" s="714"/>
      <c r="I48" s="714"/>
      <c r="J48" s="715"/>
      <c r="N48" s="535" t="s">
        <v>550</v>
      </c>
      <c r="O48" s="592">
        <f t="shared" si="7"/>
        <v>3.6964548285853514E-3</v>
      </c>
      <c r="P48" s="548"/>
      <c r="Q48" s="593">
        <f t="shared" si="5"/>
        <v>3.6964548285853514E-3</v>
      </c>
      <c r="R48" s="591">
        <f t="shared" si="6"/>
        <v>0</v>
      </c>
    </row>
    <row r="49" spans="6:18" ht="14.1" customHeight="1" thickBot="1">
      <c r="F49" s="716"/>
      <c r="G49" s="717"/>
      <c r="H49" s="717"/>
      <c r="I49" s="717"/>
      <c r="J49" s="718"/>
      <c r="N49" s="535" t="s">
        <v>552</v>
      </c>
      <c r="O49" s="592">
        <f t="shared" si="7"/>
        <v>5.1385610440371703E-2</v>
      </c>
      <c r="P49" s="548"/>
      <c r="Q49" s="593">
        <f t="shared" si="5"/>
        <v>5.1385610440371703E-2</v>
      </c>
      <c r="R49" s="591">
        <f t="shared" si="6"/>
        <v>0</v>
      </c>
    </row>
    <row r="50" spans="6:18" ht="14.45" customHeight="1">
      <c r="N50" s="535" t="s">
        <v>554</v>
      </c>
      <c r="O50" s="592">
        <f t="shared" si="7"/>
        <v>2.0586459582818968E-2</v>
      </c>
      <c r="P50" s="548"/>
      <c r="Q50" s="593">
        <f t="shared" si="5"/>
        <v>2.0586459582818968E-2</v>
      </c>
      <c r="R50" s="591">
        <f t="shared" si="6"/>
        <v>0</v>
      </c>
    </row>
    <row r="51" spans="6:18" ht="14.1" customHeight="1">
      <c r="N51" s="535" t="s">
        <v>556</v>
      </c>
      <c r="O51" s="592">
        <f t="shared" si="7"/>
        <v>1.8513335362213702E-2</v>
      </c>
      <c r="P51" s="548"/>
      <c r="Q51" s="593">
        <f t="shared" si="5"/>
        <v>1.8513335362213702E-2</v>
      </c>
      <c r="R51" s="591">
        <f t="shared" si="6"/>
        <v>0</v>
      </c>
    </row>
    <row r="52" spans="6:18" ht="14.1" customHeight="1">
      <c r="N52" s="535" t="s">
        <v>558</v>
      </c>
      <c r="O52" s="592">
        <f t="shared" si="7"/>
        <v>4.3774253847560018E-4</v>
      </c>
      <c r="P52" s="548"/>
      <c r="Q52" s="593">
        <f t="shared" si="5"/>
        <v>4.3774253847560018E-4</v>
      </c>
      <c r="R52" s="591">
        <f t="shared" si="6"/>
        <v>0</v>
      </c>
    </row>
    <row r="53" spans="6:18" ht="14.1" customHeight="1">
      <c r="N53" s="535" t="s">
        <v>560</v>
      </c>
      <c r="O53" s="592">
        <f t="shared" si="7"/>
        <v>1.5648404649949394E-2</v>
      </c>
      <c r="P53" s="548"/>
      <c r="Q53" s="593">
        <f t="shared" si="5"/>
        <v>1.5648404649949394E-2</v>
      </c>
      <c r="R53" s="591">
        <f t="shared" si="6"/>
        <v>0</v>
      </c>
    </row>
    <row r="54" spans="6:18" ht="15.75" thickBot="1">
      <c r="N54" s="595" t="s">
        <v>562</v>
      </c>
      <c r="O54" s="596">
        <f t="shared" si="7"/>
        <v>3.2826447049701856E-4</v>
      </c>
      <c r="P54" s="597"/>
      <c r="Q54" s="598">
        <f t="shared" si="5"/>
        <v>3.282644704970185E-4</v>
      </c>
      <c r="R54" s="591">
        <f t="shared" si="6"/>
        <v>0</v>
      </c>
    </row>
  </sheetData>
  <mergeCells count="13">
    <mergeCell ref="F30:J34"/>
    <mergeCell ref="F36:J40"/>
    <mergeCell ref="N38:Q39"/>
    <mergeCell ref="X41:AB42"/>
    <mergeCell ref="F42:J49"/>
    <mergeCell ref="X44:AB46"/>
    <mergeCell ref="B3:D25"/>
    <mergeCell ref="F3:J21"/>
    <mergeCell ref="V3:V6"/>
    <mergeCell ref="X3:AD3"/>
    <mergeCell ref="S5:T5"/>
    <mergeCell ref="AB5:AC5"/>
    <mergeCell ref="F23:J28"/>
  </mergeCells>
  <hyperlinks>
    <hyperlink ref="O4" r:id="rId1" xr:uid="{662F3BE1-3BDD-4CF1-B0C8-AF3A76D3B3C8}"/>
  </hyperlinks>
  <pageMargins left="0.7" right="0.7" top="0.75" bottom="0.75" header="0.3" footer="0.3"/>
  <pageSetup orientation="portrait"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962F5-DEB7-4B18-8D8E-6274E9E547A6}">
  <sheetPr>
    <tabColor theme="9" tint="0.79998168889431442"/>
  </sheetPr>
  <dimension ref="A1:AB124"/>
  <sheetViews>
    <sheetView topLeftCell="A3" zoomScaleNormal="100" workbookViewId="0">
      <selection activeCell="I36" sqref="I36:K36"/>
    </sheetView>
  </sheetViews>
  <sheetFormatPr defaultColWidth="8.7109375" defaultRowHeight="15" outlineLevelRow="1"/>
  <cols>
    <col min="1" max="1" width="2.28515625" customWidth="1"/>
    <col min="2" max="2" width="64.42578125" bestFit="1" customWidth="1"/>
    <col min="3" max="5" width="12" customWidth="1"/>
    <col min="6" max="6" width="11.85546875" customWidth="1"/>
    <col min="7" max="7" width="12.28515625" bestFit="1" customWidth="1"/>
    <col min="8" max="8" width="14.140625" bestFit="1" customWidth="1"/>
    <col min="9" max="9" width="12" customWidth="1"/>
    <col min="10" max="12" width="13" customWidth="1"/>
    <col min="13" max="13" width="13" bestFit="1" customWidth="1"/>
    <col min="14" max="15" width="14.28515625" customWidth="1"/>
    <col min="16" max="16" width="12.85546875" customWidth="1"/>
    <col min="22" max="22" width="13.42578125" bestFit="1" customWidth="1"/>
    <col min="24" max="24" width="10.28515625" bestFit="1" customWidth="1"/>
    <col min="28" max="28" width="13.42578125" bestFit="1" customWidth="1"/>
  </cols>
  <sheetData>
    <row r="1" spans="1:16" ht="20.25" hidden="1" outlineLevel="1" thickBot="1">
      <c r="A1" s="165" t="s">
        <v>419</v>
      </c>
      <c r="B1" s="302"/>
      <c r="P1" s="302"/>
    </row>
    <row r="2" spans="1:16" ht="16.5" hidden="1" outlineLevel="1" thickBot="1">
      <c r="A2" s="303" t="s">
        <v>277</v>
      </c>
      <c r="B2" s="302"/>
      <c r="P2" s="302"/>
    </row>
    <row r="3" spans="1:16" ht="17.25" collapsed="1" thickBot="1">
      <c r="A3" s="304" t="s">
        <v>420</v>
      </c>
      <c r="B3" s="302"/>
      <c r="C3" s="305" t="s">
        <v>421</v>
      </c>
      <c r="D3" s="306" t="s">
        <v>422</v>
      </c>
      <c r="E3" s="306" t="s">
        <v>423</v>
      </c>
      <c r="F3" s="307" t="s">
        <v>424</v>
      </c>
      <c r="G3" s="307" t="s">
        <v>425</v>
      </c>
      <c r="H3" s="307" t="s">
        <v>388</v>
      </c>
      <c r="I3" s="307" t="s">
        <v>389</v>
      </c>
      <c r="J3" s="307" t="s">
        <v>390</v>
      </c>
      <c r="K3" s="307" t="s">
        <v>391</v>
      </c>
      <c r="L3" s="307" t="s">
        <v>392</v>
      </c>
      <c r="M3" s="307" t="s">
        <v>393</v>
      </c>
      <c r="N3" s="308" t="s">
        <v>394</v>
      </c>
      <c r="O3" s="308" t="s">
        <v>395</v>
      </c>
      <c r="P3" s="302"/>
    </row>
    <row r="4" spans="1:16" s="311" customFormat="1" ht="12.75">
      <c r="A4" s="309"/>
      <c r="B4" s="310" t="s">
        <v>426</v>
      </c>
      <c r="C4" s="310">
        <f>[2]CONSOL!C165</f>
        <v>-1340863.9239950001</v>
      </c>
      <c r="D4" s="310">
        <f>[2]CONSOL!D165</f>
        <v>-1127290.8505950002</v>
      </c>
      <c r="E4" s="310">
        <f>[2]CONSOL!E165</f>
        <v>-1634583.1764349998</v>
      </c>
      <c r="F4" s="310">
        <f>[2]CONSOL!F165</f>
        <v>-1296173.1223962195</v>
      </c>
      <c r="G4" s="310">
        <f>[2]CONSOL!G165</f>
        <v>-399260.86641094368</v>
      </c>
      <c r="H4" s="310">
        <f>[2]CONSOL!H165</f>
        <v>-624360.08480094047</v>
      </c>
      <c r="I4" s="310">
        <f>[2]CONSOL!I165</f>
        <v>-558869.41441937536</v>
      </c>
      <c r="J4" s="310">
        <f>[2]CONSOL!J165</f>
        <v>-314594.14188831486</v>
      </c>
      <c r="K4" s="310">
        <f>[2]CONSOL!K165</f>
        <v>-1201386.4393431041</v>
      </c>
      <c r="L4" s="310">
        <f>[2]CONSOL!L165</f>
        <v>-378874.5239624083</v>
      </c>
      <c r="M4" s="310">
        <f>[2]CONSOL!M165</f>
        <v>-106452.35138597339</v>
      </c>
      <c r="N4" s="310">
        <f>[2]CONSOL!N165</f>
        <v>-8136.0746560283005</v>
      </c>
      <c r="O4" s="310">
        <f>[2]CONSOL!P165</f>
        <v>0</v>
      </c>
    </row>
    <row r="5" spans="1:16" ht="9.75" customHeight="1">
      <c r="A5" s="302"/>
      <c r="B5" s="302"/>
      <c r="C5" s="312"/>
      <c r="D5" s="312"/>
      <c r="E5" s="312"/>
      <c r="F5" s="302"/>
      <c r="G5" s="302"/>
      <c r="H5" s="302"/>
      <c r="I5" s="302"/>
      <c r="J5" s="302"/>
      <c r="K5" s="302"/>
      <c r="L5" s="302"/>
      <c r="M5" s="302"/>
      <c r="N5" s="302"/>
      <c r="O5" s="302"/>
      <c r="P5" s="302"/>
    </row>
    <row r="6" spans="1:16" ht="15.75">
      <c r="A6" s="313" t="s">
        <v>84</v>
      </c>
      <c r="B6" s="314"/>
      <c r="C6" s="315"/>
      <c r="D6" s="315"/>
      <c r="E6" s="315"/>
      <c r="F6" s="314"/>
      <c r="G6" s="314"/>
      <c r="H6" s="314"/>
      <c r="I6" s="314"/>
      <c r="J6" s="314"/>
      <c r="K6" s="314"/>
      <c r="L6" s="314"/>
      <c r="M6" s="314"/>
      <c r="N6" s="314"/>
      <c r="O6" s="314"/>
      <c r="P6" s="302"/>
    </row>
    <row r="7" spans="1:16" ht="16.5" thickBot="1">
      <c r="A7" s="302"/>
      <c r="B7" s="302"/>
      <c r="C7" s="316"/>
      <c r="D7" s="316"/>
      <c r="E7" s="316"/>
      <c r="F7" s="302"/>
      <c r="G7" s="302"/>
      <c r="H7" s="302"/>
      <c r="I7" s="302"/>
      <c r="J7" s="302"/>
      <c r="K7" s="302"/>
      <c r="L7" s="302"/>
      <c r="M7" s="302"/>
      <c r="N7" s="302"/>
      <c r="O7" s="302"/>
      <c r="P7" s="302"/>
    </row>
    <row r="8" spans="1:16" ht="16.5" thickBot="1">
      <c r="A8" s="302"/>
      <c r="B8" s="317" t="s">
        <v>427</v>
      </c>
      <c r="C8" s="306" t="str">
        <f t="shared" ref="C8:O8" si="0">C$3</f>
        <v>FY18-19</v>
      </c>
      <c r="D8" s="306" t="str">
        <f t="shared" si="0"/>
        <v>FY19-20</v>
      </c>
      <c r="E8" s="306" t="str">
        <f t="shared" si="0"/>
        <v>FY20-21</v>
      </c>
      <c r="F8" s="307" t="str">
        <f t="shared" si="0"/>
        <v>FY21-22</v>
      </c>
      <c r="G8" s="307" t="str">
        <f t="shared" si="0"/>
        <v>FY22-23</v>
      </c>
      <c r="H8" s="307" t="str">
        <f t="shared" si="0"/>
        <v>FY23-24</v>
      </c>
      <c r="I8" s="307" t="str">
        <f t="shared" si="0"/>
        <v>FY24-25</v>
      </c>
      <c r="J8" s="307" t="str">
        <f t="shared" si="0"/>
        <v>FY25-26</v>
      </c>
      <c r="K8" s="307" t="str">
        <f t="shared" si="0"/>
        <v>FY26-27</v>
      </c>
      <c r="L8" s="307" t="str">
        <f t="shared" si="0"/>
        <v>FY27-28</v>
      </c>
      <c r="M8" s="307" t="str">
        <f t="shared" si="0"/>
        <v>FY28-29</v>
      </c>
      <c r="N8" s="308" t="str">
        <f t="shared" si="0"/>
        <v>FY29-30</v>
      </c>
      <c r="O8" s="308" t="str">
        <f t="shared" si="0"/>
        <v>FY30-31</v>
      </c>
      <c r="P8" s="302"/>
    </row>
    <row r="9" spans="1:16" ht="16.5" thickBot="1">
      <c r="A9" s="302"/>
      <c r="B9" s="318" t="s">
        <v>428</v>
      </c>
      <c r="C9" s="319" t="s">
        <v>429</v>
      </c>
      <c r="D9" s="320">
        <f t="shared" ref="D9:G9" si="1">D17/C17-1</f>
        <v>7.7917466530063262E-2</v>
      </c>
      <c r="E9" s="320">
        <f t="shared" si="1"/>
        <v>-3.1300444756650059E-2</v>
      </c>
      <c r="F9" s="320">
        <f t="shared" si="1"/>
        <v>0.28956584190780732</v>
      </c>
      <c r="G9" s="320">
        <f t="shared" si="1"/>
        <v>0</v>
      </c>
      <c r="H9" s="321">
        <f>H17/G17-1</f>
        <v>-4.1154087867276368E-2</v>
      </c>
      <c r="I9" s="322">
        <v>2.5000000000000001E-2</v>
      </c>
      <c r="J9" s="322">
        <v>2.5000000000000001E-2</v>
      </c>
      <c r="K9" s="322">
        <v>2.5000000000000001E-2</v>
      </c>
      <c r="L9" s="322">
        <v>2.5000000000000001E-2</v>
      </c>
      <c r="M9" s="322">
        <v>2.5000000000000001E-2</v>
      </c>
      <c r="N9" s="322">
        <v>2.5000000000000001E-2</v>
      </c>
      <c r="O9" s="322">
        <v>2.5000000000000001E-2</v>
      </c>
      <c r="P9" s="323"/>
    </row>
    <row r="10" spans="1:16" ht="16.5" thickBot="1">
      <c r="A10" s="302"/>
      <c r="B10" s="318" t="s">
        <v>430</v>
      </c>
      <c r="C10" s="319" t="s">
        <v>429</v>
      </c>
      <c r="D10" s="320"/>
      <c r="E10" s="320"/>
      <c r="F10" s="320"/>
      <c r="G10" s="320"/>
      <c r="H10" s="321"/>
      <c r="I10" s="322">
        <v>2.5000000000000001E-2</v>
      </c>
      <c r="J10" s="322">
        <v>2.5000000000000001E-2</v>
      </c>
      <c r="K10" s="322">
        <v>2.5000000000000001E-2</v>
      </c>
      <c r="L10" s="322">
        <v>2.5000000000000001E-2</v>
      </c>
      <c r="M10" s="322">
        <v>2.5000000000000001E-2</v>
      </c>
      <c r="N10" s="322">
        <v>2.5000000000000001E-2</v>
      </c>
      <c r="O10" s="322">
        <v>2.5000000000000001E-2</v>
      </c>
      <c r="P10" s="302"/>
    </row>
    <row r="11" spans="1:16" ht="16.5" thickBot="1">
      <c r="A11" s="302"/>
      <c r="B11" s="318" t="s">
        <v>431</v>
      </c>
      <c r="C11" s="319" t="s">
        <v>429</v>
      </c>
      <c r="D11" s="324">
        <f>D19/C19-1</f>
        <v>0.39931972789115666</v>
      </c>
      <c r="E11" s="324">
        <f>E19/D19-1</f>
        <v>-0.18136838422709789</v>
      </c>
      <c r="F11" s="324">
        <f>F19/E19-1</f>
        <v>-0.34767796306257837</v>
      </c>
      <c r="G11" s="324">
        <f>G19/F19-1</f>
        <v>0.59424966994278994</v>
      </c>
      <c r="H11" s="322">
        <v>2.5000000000000001E-2</v>
      </c>
      <c r="I11" s="322">
        <v>2.5000000000000001E-2</v>
      </c>
      <c r="J11" s="322">
        <v>2.5000000000000001E-2</v>
      </c>
      <c r="K11" s="322">
        <v>2.5000000000000001E-2</v>
      </c>
      <c r="L11" s="322">
        <v>2.5000000000000001E-2</v>
      </c>
      <c r="M11" s="322">
        <v>2.5000000000000001E-2</v>
      </c>
      <c r="N11" s="322">
        <v>2.5000000000000001E-2</v>
      </c>
      <c r="O11" s="322">
        <v>2.5000000000000001E-2</v>
      </c>
      <c r="P11" s="302"/>
    </row>
    <row r="12" spans="1:16" ht="16.5" thickBot="1">
      <c r="A12" s="302"/>
      <c r="B12" s="318" t="s">
        <v>432</v>
      </c>
      <c r="C12" s="319" t="s">
        <v>429</v>
      </c>
      <c r="D12" s="320">
        <f>D33/C33-1</f>
        <v>-9.6084683758435707E-2</v>
      </c>
      <c r="E12" s="320">
        <f t="shared" ref="E12:G12" si="2">E33/D33-1</f>
        <v>0.16131940393974542</v>
      </c>
      <c r="F12" s="320">
        <f t="shared" si="2"/>
        <v>-0.42965937301366852</v>
      </c>
      <c r="G12" s="320">
        <f t="shared" si="2"/>
        <v>-0.18139847223941719</v>
      </c>
      <c r="H12" s="322">
        <v>7.0000000000000007E-2</v>
      </c>
      <c r="I12" s="322">
        <v>2.5000000000000001E-2</v>
      </c>
      <c r="J12" s="322">
        <v>2.5000000000000001E-2</v>
      </c>
      <c r="K12" s="322">
        <v>2.5000000000000001E-2</v>
      </c>
      <c r="L12" s="322">
        <v>2.5000000000000001E-2</v>
      </c>
      <c r="M12" s="322">
        <v>2.5000000000000001E-2</v>
      </c>
      <c r="N12" s="322">
        <v>2.5000000000000001E-2</v>
      </c>
      <c r="O12" s="322">
        <v>2.5000000000000001E-2</v>
      </c>
      <c r="P12" s="302"/>
    </row>
    <row r="13" spans="1:16" ht="16.5" thickBot="1">
      <c r="A13" s="302"/>
      <c r="B13" s="318" t="s">
        <v>433</v>
      </c>
      <c r="C13" s="319" t="s">
        <v>429</v>
      </c>
      <c r="D13" s="320">
        <f>(IFERROR(D34/C34-1,0))</f>
        <v>0</v>
      </c>
      <c r="E13" s="320">
        <f t="shared" ref="E13:G13" si="3">(IFERROR(E34/D34-1,0))</f>
        <v>0</v>
      </c>
      <c r="F13" s="320">
        <f t="shared" si="3"/>
        <v>0</v>
      </c>
      <c r="G13" s="320">
        <f t="shared" si="3"/>
        <v>-9.7941166349941322E-2</v>
      </c>
      <c r="H13" s="322">
        <v>2.5000000000000001E-2</v>
      </c>
      <c r="I13" s="322">
        <v>2.5000000000000001E-2</v>
      </c>
      <c r="J13" s="322">
        <v>2.5000000000000001E-2</v>
      </c>
      <c r="K13" s="322">
        <v>2.5000000000000001E-2</v>
      </c>
      <c r="L13" s="322">
        <v>2.5000000000000001E-2</v>
      </c>
      <c r="M13" s="322">
        <v>2.5000000000000001E-2</v>
      </c>
      <c r="N13" s="322">
        <v>2.5000000000000001E-2</v>
      </c>
      <c r="O13" s="322">
        <v>2.5000000000000001E-2</v>
      </c>
      <c r="P13" s="302"/>
    </row>
    <row r="14" spans="1:16" ht="16.5" thickBot="1">
      <c r="A14" s="302"/>
      <c r="B14" s="325" t="s">
        <v>434</v>
      </c>
      <c r="C14" s="319" t="s">
        <v>429</v>
      </c>
      <c r="D14" s="320">
        <f>(IFERROR(D39/C39-1,0))</f>
        <v>0</v>
      </c>
      <c r="E14" s="320">
        <f t="shared" ref="E14" si="4">(IFERROR(E39/D39-1,0))</f>
        <v>0</v>
      </c>
      <c r="F14" s="320">
        <f>(IFERROR(F39/E39-1,0))</f>
        <v>-1</v>
      </c>
      <c r="G14" s="320">
        <f>(IFERROR(G39/F39-1,0))</f>
        <v>0</v>
      </c>
      <c r="H14" s="322">
        <v>2.5000000000000001E-2</v>
      </c>
      <c r="I14" s="322">
        <v>2.5000000000000001E-2</v>
      </c>
      <c r="J14" s="322">
        <v>2.5000000000000001E-2</v>
      </c>
      <c r="K14" s="322">
        <v>2.5000000000000001E-2</v>
      </c>
      <c r="L14" s="322">
        <v>2.5000000000000001E-2</v>
      </c>
      <c r="M14" s="322">
        <v>2.5000000000000001E-2</v>
      </c>
      <c r="N14" s="322">
        <v>2.5000000000000001E-2</v>
      </c>
      <c r="O14" s="322">
        <v>2.5000000000000001E-2</v>
      </c>
      <c r="P14" s="302"/>
    </row>
    <row r="15" spans="1:16" ht="16.5" thickBot="1">
      <c r="A15" s="302"/>
      <c r="B15" s="326" t="s">
        <v>435</v>
      </c>
      <c r="C15" s="316"/>
      <c r="D15" s="316"/>
      <c r="E15" s="316"/>
      <c r="F15" s="302"/>
      <c r="G15" s="302"/>
      <c r="H15" s="327"/>
      <c r="I15" s="302"/>
      <c r="J15" s="302"/>
      <c r="K15" s="302"/>
      <c r="L15" s="302"/>
      <c r="M15" s="302"/>
      <c r="N15" s="302"/>
      <c r="O15" s="302"/>
      <c r="P15" s="302"/>
    </row>
    <row r="16" spans="1:16" ht="16.5" thickBot="1">
      <c r="A16" s="302"/>
      <c r="B16" s="317" t="s">
        <v>436</v>
      </c>
      <c r="C16" s="306" t="str">
        <f t="shared" ref="C16:O16" si="5">C$3</f>
        <v>FY18-19</v>
      </c>
      <c r="D16" s="306" t="str">
        <f t="shared" si="5"/>
        <v>FY19-20</v>
      </c>
      <c r="E16" s="306" t="str">
        <f t="shared" si="5"/>
        <v>FY20-21</v>
      </c>
      <c r="F16" s="307" t="str">
        <f t="shared" si="5"/>
        <v>FY21-22</v>
      </c>
      <c r="G16" s="307" t="str">
        <f t="shared" si="5"/>
        <v>FY22-23</v>
      </c>
      <c r="H16" s="307" t="str">
        <f t="shared" si="5"/>
        <v>FY23-24</v>
      </c>
      <c r="I16" s="307" t="str">
        <f t="shared" si="5"/>
        <v>FY24-25</v>
      </c>
      <c r="J16" s="307" t="str">
        <f t="shared" si="5"/>
        <v>FY25-26</v>
      </c>
      <c r="K16" s="307" t="str">
        <f t="shared" si="5"/>
        <v>FY26-27</v>
      </c>
      <c r="L16" s="307" t="str">
        <f t="shared" si="5"/>
        <v>FY27-28</v>
      </c>
      <c r="M16" s="307" t="str">
        <f t="shared" si="5"/>
        <v>FY28-29</v>
      </c>
      <c r="N16" s="308" t="str">
        <f t="shared" si="5"/>
        <v>FY29-30</v>
      </c>
      <c r="O16" s="308" t="str">
        <f t="shared" si="5"/>
        <v>FY30-31</v>
      </c>
      <c r="P16" s="302"/>
    </row>
    <row r="17" spans="1:17" ht="15.75">
      <c r="A17" s="302"/>
      <c r="B17" s="328" t="s">
        <v>437</v>
      </c>
      <c r="C17" s="329">
        <f>'Actual FY RevExp FY22'!C7/ENROLLMENT!C16</f>
        <v>8443.7893939393944</v>
      </c>
      <c r="D17" s="329">
        <f>'Actual FY RevExp FY22'!D7/ENROLLMENT!D16</f>
        <v>9101.7080714285712</v>
      </c>
      <c r="E17" s="329">
        <f>'Actual FY RevExp FY22'!E7/ENROLLMENT!E16</f>
        <v>8816.8205607476648</v>
      </c>
      <c r="F17" s="329">
        <v>11369.870629370629</v>
      </c>
      <c r="G17" s="329">
        <f>F17</f>
        <v>11369.870629370629</v>
      </c>
      <c r="H17" s="330">
        <f>'TISA Calculator Tracker'!U34</f>
        <v>10901.953974449945</v>
      </c>
      <c r="I17" s="329">
        <f t="shared" ref="I17:O20" si="6">H17*(1+I9)</f>
        <v>11174.502823811194</v>
      </c>
      <c r="J17" s="329">
        <f t="shared" si="6"/>
        <v>11453.865394406472</v>
      </c>
      <c r="K17" s="329">
        <f t="shared" si="6"/>
        <v>11740.212029266633</v>
      </c>
      <c r="L17" s="329">
        <f t="shared" si="6"/>
        <v>12033.717329998299</v>
      </c>
      <c r="M17" s="329">
        <f t="shared" si="6"/>
        <v>12334.560263248255</v>
      </c>
      <c r="N17" s="329">
        <f t="shared" si="6"/>
        <v>12642.92426982946</v>
      </c>
      <c r="O17" s="329">
        <f t="shared" si="6"/>
        <v>12958.997376575195</v>
      </c>
      <c r="P17" s="302"/>
      <c r="Q17" t="s">
        <v>438</v>
      </c>
    </row>
    <row r="18" spans="1:17" ht="15.75">
      <c r="A18" s="302"/>
      <c r="B18" s="328" t="s">
        <v>439</v>
      </c>
      <c r="C18" s="329">
        <v>0</v>
      </c>
      <c r="D18" s="329">
        <v>0</v>
      </c>
      <c r="E18" s="329">
        <v>0</v>
      </c>
      <c r="F18" s="329">
        <v>0</v>
      </c>
      <c r="G18" s="329">
        <v>0</v>
      </c>
      <c r="H18" s="330">
        <f>'TISA-High School'!U34</f>
        <v>13687.95418016178</v>
      </c>
      <c r="I18" s="329">
        <f t="shared" si="6"/>
        <v>14030.153034665824</v>
      </c>
      <c r="J18" s="329">
        <f t="shared" si="6"/>
        <v>14380.906860532468</v>
      </c>
      <c r="K18" s="329">
        <f t="shared" si="6"/>
        <v>14740.429532045779</v>
      </c>
      <c r="L18" s="329">
        <f t="shared" si="6"/>
        <v>15108.940270346922</v>
      </c>
      <c r="M18" s="329">
        <f t="shared" si="6"/>
        <v>15486.663777105594</v>
      </c>
      <c r="N18" s="329">
        <f t="shared" si="6"/>
        <v>15873.830371533233</v>
      </c>
      <c r="O18" s="329">
        <f t="shared" si="6"/>
        <v>16270.676130821563</v>
      </c>
      <c r="P18" s="302"/>
    </row>
    <row r="19" spans="1:17" ht="15.75">
      <c r="A19" s="302"/>
      <c r="B19" s="331" t="s">
        <v>440</v>
      </c>
      <c r="C19" s="329">
        <v>190.90909090909091</v>
      </c>
      <c r="D19" s="329">
        <v>267.14285714285717</v>
      </c>
      <c r="E19" s="329">
        <v>218.69158878504672</v>
      </c>
      <c r="F19" s="329">
        <v>142.65734265734267</v>
      </c>
      <c r="G19" s="329">
        <v>227.43142144638404</v>
      </c>
      <c r="H19" s="329">
        <f>G19*(1+H11)</f>
        <v>233.11720698254362</v>
      </c>
      <c r="I19" s="329">
        <f t="shared" si="6"/>
        <v>238.94513715710718</v>
      </c>
      <c r="J19" s="329">
        <f t="shared" si="6"/>
        <v>244.91876558603485</v>
      </c>
      <c r="K19" s="329">
        <f t="shared" si="6"/>
        <v>251.0417347256857</v>
      </c>
      <c r="L19" s="329">
        <f t="shared" si="6"/>
        <v>257.31777809382783</v>
      </c>
      <c r="M19" s="329">
        <f t="shared" si="6"/>
        <v>263.75072254617351</v>
      </c>
      <c r="N19" s="329">
        <f t="shared" si="6"/>
        <v>270.3444906098278</v>
      </c>
      <c r="O19" s="329">
        <f t="shared" si="6"/>
        <v>277.10310287507349</v>
      </c>
      <c r="P19" s="302"/>
    </row>
    <row r="20" spans="1:17" ht="15.75">
      <c r="A20" s="302"/>
      <c r="B20" s="328" t="s">
        <v>441</v>
      </c>
      <c r="C20" s="329">
        <v>0</v>
      </c>
      <c r="D20" s="329">
        <v>0</v>
      </c>
      <c r="E20" s="329">
        <v>0</v>
      </c>
      <c r="F20" s="329">
        <v>0</v>
      </c>
      <c r="G20" s="329">
        <v>0</v>
      </c>
      <c r="H20" s="329">
        <f>G20*(1+H12)</f>
        <v>0</v>
      </c>
      <c r="I20" s="329">
        <f t="shared" si="6"/>
        <v>0</v>
      </c>
      <c r="J20" s="329">
        <f t="shared" si="6"/>
        <v>0</v>
      </c>
      <c r="K20" s="329">
        <f t="shared" si="6"/>
        <v>0</v>
      </c>
      <c r="L20" s="329">
        <f t="shared" si="6"/>
        <v>0</v>
      </c>
      <c r="M20" s="329">
        <f t="shared" si="6"/>
        <v>0</v>
      </c>
      <c r="N20" s="329">
        <f t="shared" si="6"/>
        <v>0</v>
      </c>
      <c r="O20" s="329">
        <f t="shared" si="6"/>
        <v>0</v>
      </c>
      <c r="P20" s="302"/>
    </row>
    <row r="21" spans="1:17" ht="16.5" thickBot="1">
      <c r="A21" s="302"/>
      <c r="B21" s="332" t="s">
        <v>442</v>
      </c>
      <c r="C21" s="329">
        <f>0</f>
        <v>0</v>
      </c>
      <c r="D21" s="329">
        <f>0</f>
        <v>0</v>
      </c>
      <c r="E21" s="329">
        <f>0</f>
        <v>0</v>
      </c>
      <c r="F21" s="329">
        <f>0</f>
        <v>0</v>
      </c>
      <c r="G21" s="329">
        <f>0</f>
        <v>0</v>
      </c>
      <c r="H21" s="333">
        <v>100</v>
      </c>
      <c r="I21" s="329">
        <f>H21*(1+I14)</f>
        <v>102.49999999999999</v>
      </c>
      <c r="J21" s="329">
        <f>I21*(1+J14)</f>
        <v>105.06249999999997</v>
      </c>
      <c r="K21" s="329">
        <f t="shared" ref="K21:O21" si="7">J21*(1+K14)</f>
        <v>107.68906249999996</v>
      </c>
      <c r="L21" s="329">
        <f t="shared" si="7"/>
        <v>110.38128906249996</v>
      </c>
      <c r="M21" s="329">
        <f t="shared" si="7"/>
        <v>113.14082128906244</v>
      </c>
      <c r="N21" s="329">
        <f t="shared" si="7"/>
        <v>115.96934182128899</v>
      </c>
      <c r="O21" s="329">
        <f t="shared" si="7"/>
        <v>118.8685753668212</v>
      </c>
      <c r="P21" s="302"/>
    </row>
    <row r="22" spans="1:17" ht="16.5" thickBot="1">
      <c r="A22" s="302"/>
      <c r="B22" s="302"/>
      <c r="C22" s="316"/>
      <c r="D22" s="316"/>
      <c r="E22" s="316"/>
      <c r="F22" s="302"/>
      <c r="G22" s="302"/>
      <c r="H22" s="302"/>
      <c r="I22" s="302"/>
      <c r="J22" s="302"/>
      <c r="K22" s="302"/>
      <c r="L22" s="302"/>
      <c r="M22" s="302"/>
      <c r="N22" s="302"/>
      <c r="O22" s="302"/>
      <c r="P22" s="302"/>
    </row>
    <row r="23" spans="1:17" ht="16.5" thickBot="1">
      <c r="A23" s="302"/>
      <c r="B23" s="317" t="s">
        <v>443</v>
      </c>
      <c r="C23" s="306" t="str">
        <f t="shared" ref="C23:O23" si="8">C$3</f>
        <v>FY18-19</v>
      </c>
      <c r="D23" s="306" t="str">
        <f t="shared" si="8"/>
        <v>FY19-20</v>
      </c>
      <c r="E23" s="306" t="str">
        <f t="shared" si="8"/>
        <v>FY20-21</v>
      </c>
      <c r="F23" s="307" t="str">
        <f t="shared" si="8"/>
        <v>FY21-22</v>
      </c>
      <c r="G23" s="307" t="str">
        <f t="shared" si="8"/>
        <v>FY22-23</v>
      </c>
      <c r="H23" s="307" t="str">
        <f t="shared" si="8"/>
        <v>FY23-24</v>
      </c>
      <c r="I23" s="307" t="str">
        <f t="shared" si="8"/>
        <v>FY24-25</v>
      </c>
      <c r="J23" s="307" t="str">
        <f t="shared" si="8"/>
        <v>FY25-26</v>
      </c>
      <c r="K23" s="307" t="str">
        <f t="shared" si="8"/>
        <v>FY26-27</v>
      </c>
      <c r="L23" s="307" t="str">
        <f t="shared" si="8"/>
        <v>FY27-28</v>
      </c>
      <c r="M23" s="307" t="str">
        <f t="shared" si="8"/>
        <v>FY28-29</v>
      </c>
      <c r="N23" s="308" t="str">
        <f t="shared" si="8"/>
        <v>FY29-30</v>
      </c>
      <c r="O23" s="308" t="str">
        <f t="shared" si="8"/>
        <v>FY30-31</v>
      </c>
      <c r="P23" s="302"/>
    </row>
    <row r="24" spans="1:17" ht="15.75">
      <c r="A24" s="302"/>
      <c r="B24" s="331" t="s">
        <v>444</v>
      </c>
      <c r="C24" s="334">
        <v>525.49681818181818</v>
      </c>
      <c r="D24" s="334">
        <v>316.24007142857141</v>
      </c>
      <c r="E24" s="334">
        <v>45.27397196261682</v>
      </c>
      <c r="F24" s="329">
        <v>290.55944055944053</v>
      </c>
      <c r="G24" s="329">
        <v>542.57234413965091</v>
      </c>
      <c r="H24" s="329">
        <f t="shared" ref="H24:O24" si="9">G24*(1+H14)</f>
        <v>556.13665274314212</v>
      </c>
      <c r="I24" s="329">
        <f t="shared" si="9"/>
        <v>570.0400690617206</v>
      </c>
      <c r="J24" s="329">
        <f t="shared" si="9"/>
        <v>584.2910707882636</v>
      </c>
      <c r="K24" s="329">
        <f t="shared" si="9"/>
        <v>598.89834755797017</v>
      </c>
      <c r="L24" s="329">
        <f t="shared" si="9"/>
        <v>613.87080624691941</v>
      </c>
      <c r="M24" s="329">
        <f t="shared" si="9"/>
        <v>629.21757640309238</v>
      </c>
      <c r="N24" s="329">
        <f t="shared" si="9"/>
        <v>644.9480158131696</v>
      </c>
      <c r="O24" s="329">
        <f t="shared" si="9"/>
        <v>661.07171620849874</v>
      </c>
      <c r="P24" s="302"/>
    </row>
    <row r="25" spans="1:17" ht="15.75">
      <c r="A25" s="302"/>
      <c r="B25" s="328" t="s">
        <v>445</v>
      </c>
      <c r="C25" s="334">
        <v>225.43151515151516</v>
      </c>
      <c r="D25" s="334">
        <v>112.22507142857143</v>
      </c>
      <c r="E25" s="334">
        <v>22.309205607476635</v>
      </c>
      <c r="F25" s="329">
        <v>66.622377622377627</v>
      </c>
      <c r="G25" s="329">
        <v>273.32591022443893</v>
      </c>
      <c r="H25" s="329">
        <f t="shared" ref="H25:O26" si="10">G25*(1+H$14)</f>
        <v>280.15905798004985</v>
      </c>
      <c r="I25" s="329">
        <f t="shared" si="10"/>
        <v>287.16303442955109</v>
      </c>
      <c r="J25" s="329">
        <f t="shared" si="10"/>
        <v>294.34211029028984</v>
      </c>
      <c r="K25" s="329">
        <f t="shared" si="10"/>
        <v>301.70066304754704</v>
      </c>
      <c r="L25" s="329">
        <f t="shared" si="10"/>
        <v>309.24317962373567</v>
      </c>
      <c r="M25" s="329">
        <f t="shared" si="10"/>
        <v>316.97425911432902</v>
      </c>
      <c r="N25" s="329">
        <f t="shared" si="10"/>
        <v>324.89861559218724</v>
      </c>
      <c r="O25" s="329">
        <f t="shared" si="10"/>
        <v>333.02108098199187</v>
      </c>
      <c r="P25" s="302"/>
    </row>
    <row r="26" spans="1:17" ht="16.5" thickBot="1">
      <c r="A26" s="302"/>
      <c r="B26" s="335" t="s">
        <v>446</v>
      </c>
      <c r="C26" s="334">
        <v>0</v>
      </c>
      <c r="D26" s="334">
        <v>10.407142857142857</v>
      </c>
      <c r="E26" s="334">
        <v>0</v>
      </c>
      <c r="F26" s="334">
        <v>0</v>
      </c>
      <c r="G26" s="329">
        <v>0</v>
      </c>
      <c r="H26" s="329">
        <f t="shared" si="10"/>
        <v>0</v>
      </c>
      <c r="I26" s="329">
        <f t="shared" si="10"/>
        <v>0</v>
      </c>
      <c r="J26" s="329">
        <f t="shared" si="10"/>
        <v>0</v>
      </c>
      <c r="K26" s="329">
        <f t="shared" si="10"/>
        <v>0</v>
      </c>
      <c r="L26" s="329">
        <f t="shared" si="10"/>
        <v>0</v>
      </c>
      <c r="M26" s="329">
        <f t="shared" si="10"/>
        <v>0</v>
      </c>
      <c r="N26" s="329">
        <f t="shared" si="10"/>
        <v>0</v>
      </c>
      <c r="O26" s="329">
        <f t="shared" si="10"/>
        <v>0</v>
      </c>
      <c r="P26" s="302"/>
    </row>
    <row r="27" spans="1:17" ht="16.5" thickBot="1">
      <c r="A27" s="302"/>
      <c r="B27" s="302"/>
      <c r="C27" s="316"/>
      <c r="D27" s="316"/>
      <c r="E27" s="316"/>
      <c r="F27" s="302"/>
      <c r="G27" s="302"/>
      <c r="H27" s="302"/>
      <c r="I27" s="302"/>
      <c r="J27" s="302"/>
      <c r="K27" s="302"/>
      <c r="L27" s="302"/>
      <c r="M27" s="302"/>
      <c r="N27" s="302"/>
      <c r="O27" s="302"/>
      <c r="P27" s="302"/>
    </row>
    <row r="28" spans="1:17" ht="16.5" thickBot="1">
      <c r="A28" s="302"/>
      <c r="B28" s="317" t="s">
        <v>447</v>
      </c>
      <c r="C28" s="306" t="str">
        <f t="shared" ref="C28:O28" si="11">C$3</f>
        <v>FY18-19</v>
      </c>
      <c r="D28" s="306" t="str">
        <f t="shared" si="11"/>
        <v>FY19-20</v>
      </c>
      <c r="E28" s="306" t="str">
        <f t="shared" si="11"/>
        <v>FY20-21</v>
      </c>
      <c r="F28" s="307" t="str">
        <f t="shared" si="11"/>
        <v>FY21-22</v>
      </c>
      <c r="G28" s="307" t="str">
        <f t="shared" si="11"/>
        <v>FY22-23</v>
      </c>
      <c r="H28" s="307" t="str">
        <f t="shared" si="11"/>
        <v>FY23-24</v>
      </c>
      <c r="I28" s="307" t="str">
        <f t="shared" si="11"/>
        <v>FY24-25</v>
      </c>
      <c r="J28" s="307" t="str">
        <f t="shared" si="11"/>
        <v>FY25-26</v>
      </c>
      <c r="K28" s="307" t="str">
        <f t="shared" si="11"/>
        <v>FY26-27</v>
      </c>
      <c r="L28" s="307" t="str">
        <f t="shared" si="11"/>
        <v>FY27-28</v>
      </c>
      <c r="M28" s="307" t="str">
        <f t="shared" si="11"/>
        <v>FY28-29</v>
      </c>
      <c r="N28" s="308" t="str">
        <f t="shared" si="11"/>
        <v>FY29-30</v>
      </c>
      <c r="O28" s="308" t="str">
        <f t="shared" si="11"/>
        <v>FY30-31</v>
      </c>
      <c r="P28" s="302"/>
    </row>
    <row r="29" spans="1:17" ht="15.75">
      <c r="A29" s="302" t="s">
        <v>448</v>
      </c>
      <c r="B29" s="336" t="s">
        <v>449</v>
      </c>
      <c r="C29" s="334" t="e">
        <f>'[2]Actual FY RevExp FY22'!C13/#REF!</f>
        <v>#REF!</v>
      </c>
      <c r="D29" s="334" t="e">
        <f>'[2]Actual FY RevExp FY22'!D13/#REF!</f>
        <v>#REF!</v>
      </c>
      <c r="E29" s="334" t="e">
        <f>'[2]Actual FY RevExp FY22'!E13/#REF!</f>
        <v>#REF!</v>
      </c>
      <c r="F29" s="329">
        <f>'[2]Budget Overview FY23'!F13/ENROLLMENT!F16</f>
        <v>259.53405594405598</v>
      </c>
      <c r="G29" s="329">
        <f>'[2]Budget Overview FY23'!G13/ENROLLMENT!G16</f>
        <v>224.43890274314214</v>
      </c>
      <c r="H29" s="329">
        <f t="shared" ref="H29:O29" si="12">G29*(1+H$14)</f>
        <v>230.04987531172068</v>
      </c>
      <c r="I29" s="329">
        <f t="shared" si="12"/>
        <v>235.80112219451368</v>
      </c>
      <c r="J29" s="329">
        <f t="shared" si="12"/>
        <v>241.6961502493765</v>
      </c>
      <c r="K29" s="329">
        <f t="shared" si="12"/>
        <v>247.73855400561089</v>
      </c>
      <c r="L29" s="329">
        <f t="shared" si="12"/>
        <v>253.93201785575116</v>
      </c>
      <c r="M29" s="329">
        <f t="shared" si="12"/>
        <v>260.28031830214491</v>
      </c>
      <c r="N29" s="329">
        <f t="shared" si="12"/>
        <v>266.78732625969849</v>
      </c>
      <c r="O29" s="329">
        <f t="shared" si="12"/>
        <v>273.45700941619094</v>
      </c>
      <c r="P29" s="302"/>
    </row>
    <row r="30" spans="1:17" ht="16.5" thickBot="1">
      <c r="A30" s="302"/>
      <c r="B30" s="335" t="s">
        <v>450</v>
      </c>
      <c r="C30" s="337" t="s">
        <v>429</v>
      </c>
      <c r="D30" s="337" t="s">
        <v>429</v>
      </c>
      <c r="E30" s="337" t="s">
        <v>429</v>
      </c>
      <c r="F30" s="337" t="s">
        <v>429</v>
      </c>
      <c r="G30" s="337" t="s">
        <v>429</v>
      </c>
      <c r="H30" s="337" t="s">
        <v>429</v>
      </c>
      <c r="I30" s="337" t="s">
        <v>429</v>
      </c>
      <c r="J30" s="337" t="s">
        <v>429</v>
      </c>
      <c r="K30" s="337" t="s">
        <v>429</v>
      </c>
      <c r="L30" s="337" t="s">
        <v>429</v>
      </c>
      <c r="M30" s="337" t="s">
        <v>429</v>
      </c>
      <c r="N30" s="337" t="s">
        <v>429</v>
      </c>
      <c r="O30" s="337" t="s">
        <v>429</v>
      </c>
      <c r="P30" s="302"/>
    </row>
    <row r="31" spans="1:17" ht="16.5" thickBot="1">
      <c r="A31" s="302"/>
      <c r="B31" s="302"/>
      <c r="C31" s="316"/>
      <c r="D31" s="316"/>
      <c r="E31" s="316"/>
      <c r="F31" s="302"/>
      <c r="G31" s="302"/>
      <c r="H31" s="302"/>
      <c r="I31" s="302"/>
      <c r="J31" s="302"/>
      <c r="K31" s="302"/>
      <c r="L31" s="302"/>
      <c r="M31" s="302"/>
      <c r="N31" s="302"/>
      <c r="O31" s="302"/>
      <c r="P31" s="302"/>
    </row>
    <row r="32" spans="1:17" ht="16.5" thickBot="1">
      <c r="A32" s="302"/>
      <c r="B32" s="317" t="s">
        <v>451</v>
      </c>
      <c r="C32" s="306" t="str">
        <f t="shared" ref="C32:O32" si="13">C$3</f>
        <v>FY18-19</v>
      </c>
      <c r="D32" s="306" t="str">
        <f t="shared" si="13"/>
        <v>FY19-20</v>
      </c>
      <c r="E32" s="306" t="str">
        <f t="shared" si="13"/>
        <v>FY20-21</v>
      </c>
      <c r="F32" s="307" t="str">
        <f t="shared" si="13"/>
        <v>FY21-22</v>
      </c>
      <c r="G32" s="307" t="str">
        <f t="shared" si="13"/>
        <v>FY22-23</v>
      </c>
      <c r="H32" s="307" t="str">
        <f t="shared" si="13"/>
        <v>FY23-24</v>
      </c>
      <c r="I32" s="307" t="str">
        <f t="shared" si="13"/>
        <v>FY24-25</v>
      </c>
      <c r="J32" s="307" t="str">
        <f t="shared" si="13"/>
        <v>FY25-26</v>
      </c>
      <c r="K32" s="307" t="str">
        <f t="shared" si="13"/>
        <v>FY26-27</v>
      </c>
      <c r="L32" s="307" t="str">
        <f t="shared" si="13"/>
        <v>FY27-28</v>
      </c>
      <c r="M32" s="307" t="str">
        <f t="shared" si="13"/>
        <v>FY28-29</v>
      </c>
      <c r="N32" s="308" t="str">
        <f t="shared" si="13"/>
        <v>FY29-30</v>
      </c>
      <c r="O32" s="308" t="str">
        <f t="shared" si="13"/>
        <v>FY30-31</v>
      </c>
      <c r="P32" s="302"/>
    </row>
    <row r="33" spans="1:25" ht="15.75">
      <c r="A33" s="302"/>
      <c r="B33" s="338" t="s">
        <v>452</v>
      </c>
      <c r="C33" s="334">
        <v>434.5272727272727</v>
      </c>
      <c r="D33" s="334">
        <v>392.77585714285715</v>
      </c>
      <c r="E33" s="334">
        <v>456.13822429906543</v>
      </c>
      <c r="F33" s="329">
        <f>'[2]Budget Overview FY23'!F12/ENROLLMENT!F16</f>
        <v>260.15416083916085</v>
      </c>
      <c r="G33" s="329">
        <f>'[2]Budget Overview FY23'!G12/ENROLLMENT!G16</f>
        <v>212.96259351620947</v>
      </c>
      <c r="H33" s="329">
        <f t="shared" ref="H33:O34" si="14">G33*(1+H12)</f>
        <v>227.86997506234414</v>
      </c>
      <c r="I33" s="329">
        <f t="shared" si="14"/>
        <v>233.56672443890272</v>
      </c>
      <c r="J33" s="329">
        <f t="shared" si="14"/>
        <v>239.40589254987526</v>
      </c>
      <c r="K33" s="329">
        <f t="shared" si="14"/>
        <v>245.39103986362213</v>
      </c>
      <c r="L33" s="329">
        <f t="shared" si="14"/>
        <v>251.52581586021265</v>
      </c>
      <c r="M33" s="329">
        <f t="shared" si="14"/>
        <v>257.81396125671796</v>
      </c>
      <c r="N33" s="329">
        <f t="shared" si="14"/>
        <v>264.25931028813591</v>
      </c>
      <c r="O33" s="329">
        <f t="shared" si="14"/>
        <v>270.86579304533927</v>
      </c>
      <c r="P33" s="302"/>
    </row>
    <row r="34" spans="1:25" ht="15.75">
      <c r="A34" s="302"/>
      <c r="B34" s="338" t="s">
        <v>453</v>
      </c>
      <c r="C34" s="334">
        <v>0</v>
      </c>
      <c r="D34" s="334">
        <v>0</v>
      </c>
      <c r="E34" s="334">
        <v>0</v>
      </c>
      <c r="F34" s="329">
        <f>'[2]Budget Overview FY23'!F14/ENROLLMENT!F16</f>
        <v>26.86013986013986</v>
      </c>
      <c r="G34" s="329">
        <f>'[2]Budget Overview FY23'!G14/ENROLLMENT!G16</f>
        <v>24.229426433915211</v>
      </c>
      <c r="H34" s="329">
        <f t="shared" si="14"/>
        <v>24.835162094763088</v>
      </c>
      <c r="I34" s="329">
        <f t="shared" si="14"/>
        <v>25.456041147132165</v>
      </c>
      <c r="J34" s="329">
        <f t="shared" si="14"/>
        <v>26.092442175810469</v>
      </c>
      <c r="K34" s="329">
        <f t="shared" si="14"/>
        <v>26.744753230205728</v>
      </c>
      <c r="L34" s="329">
        <f t="shared" si="14"/>
        <v>27.413372060960867</v>
      </c>
      <c r="M34" s="329">
        <f t="shared" si="14"/>
        <v>28.098706362484887</v>
      </c>
      <c r="N34" s="329">
        <f t="shared" si="14"/>
        <v>28.801174021547006</v>
      </c>
      <c r="O34" s="329">
        <f t="shared" si="14"/>
        <v>29.521203372085679</v>
      </c>
      <c r="P34" s="302"/>
    </row>
    <row r="35" spans="1:25" ht="15.75">
      <c r="A35" s="302"/>
      <c r="B35" s="338" t="s">
        <v>454</v>
      </c>
      <c r="C35" s="334">
        <v>939.85515151515153</v>
      </c>
      <c r="D35" s="334">
        <v>1206.1392857142857</v>
      </c>
      <c r="E35" s="334">
        <v>0</v>
      </c>
      <c r="F35" s="339">
        <v>0</v>
      </c>
      <c r="G35" s="339">
        <f t="shared" ref="G35:O45" si="15">F35</f>
        <v>0</v>
      </c>
      <c r="H35" s="339">
        <f t="shared" si="15"/>
        <v>0</v>
      </c>
      <c r="I35" s="333"/>
      <c r="J35" s="333"/>
      <c r="K35" s="333"/>
      <c r="L35" s="339"/>
      <c r="M35" s="339"/>
      <c r="N35" s="339"/>
      <c r="O35" s="339"/>
      <c r="P35" s="323"/>
    </row>
    <row r="36" spans="1:25" ht="15.75">
      <c r="A36" s="302"/>
      <c r="B36" s="338" t="s">
        <v>455</v>
      </c>
      <c r="C36" s="334"/>
      <c r="D36" s="334"/>
      <c r="E36" s="334"/>
      <c r="F36" s="334">
        <v>0</v>
      </c>
      <c r="G36" s="334">
        <f>F36</f>
        <v>0</v>
      </c>
      <c r="H36" s="334"/>
      <c r="I36" s="333">
        <f>1200000/3</f>
        <v>400000</v>
      </c>
      <c r="J36" s="333">
        <f t="shared" ref="J36:K36" si="16">1200000/3</f>
        <v>400000</v>
      </c>
      <c r="K36" s="333">
        <f t="shared" si="16"/>
        <v>400000</v>
      </c>
      <c r="L36" s="334"/>
      <c r="M36" s="334"/>
      <c r="N36" s="334"/>
      <c r="O36" s="334"/>
      <c r="P36" s="323"/>
    </row>
    <row r="37" spans="1:25" ht="15.75">
      <c r="A37" s="302"/>
      <c r="B37" s="338" t="s">
        <v>456</v>
      </c>
      <c r="C37" s="334"/>
      <c r="D37" s="334"/>
      <c r="E37" s="334"/>
      <c r="F37" s="339">
        <v>0</v>
      </c>
      <c r="G37" s="339">
        <f t="shared" ref="G37:H37" si="17">F37</f>
        <v>0</v>
      </c>
      <c r="H37" s="339">
        <f t="shared" si="17"/>
        <v>0</v>
      </c>
      <c r="I37" s="333"/>
      <c r="J37" s="333"/>
      <c r="K37" s="333"/>
      <c r="L37" s="333">
        <f t="shared" ref="L37:N37" si="18">600000/3</f>
        <v>200000</v>
      </c>
      <c r="M37" s="333">
        <f t="shared" si="18"/>
        <v>200000</v>
      </c>
      <c r="N37" s="333">
        <f t="shared" si="18"/>
        <v>200000</v>
      </c>
      <c r="O37" s="333">
        <v>0</v>
      </c>
      <c r="P37" s="323"/>
    </row>
    <row r="38" spans="1:25" ht="15.75">
      <c r="A38" s="302"/>
      <c r="B38" s="338" t="s">
        <v>457</v>
      </c>
      <c r="C38" s="334">
        <v>0</v>
      </c>
      <c r="D38" s="334">
        <v>0</v>
      </c>
      <c r="E38" s="334">
        <v>871.15654205607473</v>
      </c>
      <c r="F38" s="339">
        <v>0</v>
      </c>
      <c r="G38" s="339">
        <f>F38</f>
        <v>0</v>
      </c>
      <c r="H38" s="339">
        <f t="shared" si="15"/>
        <v>0</v>
      </c>
      <c r="I38" s="339">
        <f t="shared" si="15"/>
        <v>0</v>
      </c>
      <c r="J38" s="339">
        <f t="shared" si="15"/>
        <v>0</v>
      </c>
      <c r="K38" s="339">
        <f t="shared" si="15"/>
        <v>0</v>
      </c>
      <c r="L38" s="339">
        <f t="shared" si="15"/>
        <v>0</v>
      </c>
      <c r="M38" s="339">
        <f t="shared" si="15"/>
        <v>0</v>
      </c>
      <c r="N38" s="339">
        <f t="shared" si="15"/>
        <v>0</v>
      </c>
      <c r="O38" s="339">
        <f t="shared" si="15"/>
        <v>0</v>
      </c>
      <c r="P38" s="302"/>
    </row>
    <row r="39" spans="1:25" ht="15.75">
      <c r="A39" s="302"/>
      <c r="B39" s="338" t="s">
        <v>458</v>
      </c>
      <c r="C39" s="334">
        <v>0</v>
      </c>
      <c r="D39" s="334">
        <v>0</v>
      </c>
      <c r="E39" s="334">
        <v>2.7651401869158878</v>
      </c>
      <c r="F39" s="339">
        <v>0</v>
      </c>
      <c r="G39" s="339">
        <v>0</v>
      </c>
      <c r="H39" s="339">
        <f t="shared" si="15"/>
        <v>0</v>
      </c>
      <c r="I39" s="339">
        <f t="shared" si="15"/>
        <v>0</v>
      </c>
      <c r="J39" s="339">
        <f t="shared" si="15"/>
        <v>0</v>
      </c>
      <c r="K39" s="339">
        <f t="shared" si="15"/>
        <v>0</v>
      </c>
      <c r="L39" s="339">
        <f t="shared" si="15"/>
        <v>0</v>
      </c>
      <c r="M39" s="339">
        <f t="shared" si="15"/>
        <v>0</v>
      </c>
      <c r="N39" s="339">
        <f t="shared" si="15"/>
        <v>0</v>
      </c>
      <c r="O39" s="339">
        <f t="shared" si="15"/>
        <v>0</v>
      </c>
      <c r="P39" s="323"/>
    </row>
    <row r="40" spans="1:25" ht="15.75">
      <c r="A40" s="302"/>
      <c r="B40" s="338" t="s">
        <v>459</v>
      </c>
      <c r="C40" s="334">
        <v>3619.3316666666669</v>
      </c>
      <c r="D40" s="334">
        <v>-81.762500000000003</v>
      </c>
      <c r="E40" s="334">
        <v>1807.9503738317758</v>
      </c>
      <c r="F40" s="334">
        <f>'[2]Budget Overview FY23'!F15/ENROLLMENT!F16</f>
        <v>3579.867132867133</v>
      </c>
      <c r="G40" s="340">
        <v>0</v>
      </c>
      <c r="H40" s="340">
        <v>0</v>
      </c>
      <c r="I40" s="340">
        <v>0</v>
      </c>
      <c r="J40" s="340">
        <v>0</v>
      </c>
      <c r="K40" s="340">
        <v>0</v>
      </c>
      <c r="L40" s="340">
        <v>0</v>
      </c>
      <c r="M40" s="340">
        <v>0</v>
      </c>
      <c r="N40" s="340">
        <v>0</v>
      </c>
      <c r="O40" s="340">
        <v>0</v>
      </c>
      <c r="P40" s="323"/>
    </row>
    <row r="41" spans="1:25" ht="15.75">
      <c r="A41" s="302"/>
      <c r="B41" s="338" t="s">
        <v>460</v>
      </c>
      <c r="C41" s="334"/>
      <c r="D41" s="334"/>
      <c r="E41" s="334"/>
      <c r="F41" s="341">
        <f>'[2]Revenue FY22'!$M$13</f>
        <v>40925.589999999997</v>
      </c>
      <c r="G41" s="341">
        <v>0</v>
      </c>
      <c r="H41" s="341"/>
      <c r="I41" s="342"/>
      <c r="J41" s="342"/>
      <c r="K41" s="342"/>
      <c r="L41" s="342"/>
      <c r="M41" s="342"/>
      <c r="N41" s="342"/>
      <c r="O41" s="342"/>
      <c r="P41" s="323"/>
    </row>
    <row r="42" spans="1:25" ht="15.75">
      <c r="A42" s="302"/>
      <c r="B42" s="338" t="s">
        <v>461</v>
      </c>
      <c r="C42" s="334"/>
      <c r="D42" s="334"/>
      <c r="E42" s="334"/>
      <c r="F42" s="341">
        <f>'[2]Revenue FY22'!$M$14</f>
        <v>110470.05</v>
      </c>
      <c r="G42" s="341">
        <v>0</v>
      </c>
      <c r="H42" s="341"/>
      <c r="I42" s="342"/>
      <c r="J42" s="342"/>
      <c r="K42" s="342"/>
      <c r="L42" s="342"/>
      <c r="M42" s="342"/>
      <c r="N42" s="342"/>
      <c r="O42" s="342"/>
      <c r="P42" s="323"/>
      <c r="Q42" s="250" t="s">
        <v>462</v>
      </c>
      <c r="U42" s="250" t="s">
        <v>463</v>
      </c>
      <c r="X42" t="s">
        <v>344</v>
      </c>
    </row>
    <row r="43" spans="1:25" ht="15.75">
      <c r="A43" s="302"/>
      <c r="B43" s="338" t="s">
        <v>464</v>
      </c>
      <c r="C43" s="334"/>
      <c r="D43" s="334"/>
      <c r="E43" s="334"/>
      <c r="F43" s="341">
        <f>'[2]Revenue FY22'!$M$15</f>
        <v>258046</v>
      </c>
      <c r="G43" s="341">
        <v>0</v>
      </c>
      <c r="H43" s="341"/>
      <c r="I43" s="342"/>
      <c r="J43" s="342"/>
      <c r="K43" s="342"/>
      <c r="L43" s="342"/>
      <c r="M43" s="342"/>
      <c r="N43" s="342"/>
      <c r="O43" s="342"/>
      <c r="P43" s="323"/>
      <c r="Q43" t="s">
        <v>465</v>
      </c>
      <c r="R43" t="s">
        <v>466</v>
      </c>
      <c r="S43" t="s">
        <v>467</v>
      </c>
      <c r="U43" t="s">
        <v>464</v>
      </c>
      <c r="V43" s="261">
        <f>F43</f>
        <v>258046</v>
      </c>
      <c r="W43">
        <v>189</v>
      </c>
      <c r="X43" s="272">
        <f>V43/W43</f>
        <v>1365.3227513227514</v>
      </c>
    </row>
    <row r="44" spans="1:25" ht="15.75">
      <c r="A44" s="302"/>
      <c r="B44" s="338" t="s">
        <v>468</v>
      </c>
      <c r="C44" s="334"/>
      <c r="D44" s="334"/>
      <c r="E44" s="334"/>
      <c r="F44" s="341">
        <f>'[2]Revenue FY22'!$M$16</f>
        <v>614400.36</v>
      </c>
      <c r="G44" s="342">
        <v>0</v>
      </c>
      <c r="H44" s="342"/>
      <c r="I44" s="342"/>
      <c r="J44" s="342"/>
      <c r="K44" s="342"/>
      <c r="L44" s="342"/>
      <c r="M44" s="342"/>
      <c r="N44" s="342"/>
      <c r="O44" s="342"/>
      <c r="P44" s="323"/>
      <c r="Q44" s="343">
        <f>F44/V45</f>
        <v>0.59524305743937123</v>
      </c>
      <c r="R44" s="344">
        <v>0.2</v>
      </c>
      <c r="S44" s="345">
        <f>1-Q44-R44</f>
        <v>0.20475694256062876</v>
      </c>
      <c r="U44" t="s">
        <v>469</v>
      </c>
      <c r="V44" s="346">
        <v>4</v>
      </c>
    </row>
    <row r="45" spans="1:25" ht="16.5" thickBot="1">
      <c r="A45" s="302"/>
      <c r="B45" s="332" t="s">
        <v>470</v>
      </c>
      <c r="C45" s="334">
        <v>0</v>
      </c>
      <c r="D45" s="334">
        <v>0</v>
      </c>
      <c r="E45" s="334">
        <v>0</v>
      </c>
      <c r="F45" s="334" t="e">
        <f>'[2]Budget Overview FY22'!F16/#REF!</f>
        <v>#REF!</v>
      </c>
      <c r="G45" s="347">
        <f>'[2]Budget Overview FY23'!G16/ENROLLMENT!G16</f>
        <v>124.68827930174564</v>
      </c>
      <c r="H45" s="347">
        <v>0</v>
      </c>
      <c r="I45" s="347">
        <f t="shared" si="15"/>
        <v>0</v>
      </c>
      <c r="J45" s="347">
        <f t="shared" si="15"/>
        <v>0</v>
      </c>
      <c r="K45" s="347">
        <f t="shared" si="15"/>
        <v>0</v>
      </c>
      <c r="L45" s="347">
        <f t="shared" si="15"/>
        <v>0</v>
      </c>
      <c r="M45" s="347">
        <f t="shared" si="15"/>
        <v>0</v>
      </c>
      <c r="N45" s="347">
        <f t="shared" si="15"/>
        <v>0</v>
      </c>
      <c r="O45" s="347">
        <f t="shared" si="15"/>
        <v>0</v>
      </c>
      <c r="U45" t="s">
        <v>468</v>
      </c>
      <c r="V45" s="348">
        <f>V43*V44</f>
        <v>1032184</v>
      </c>
      <c r="W45">
        <v>189</v>
      </c>
      <c r="X45" s="231">
        <v>2400</v>
      </c>
      <c r="Y45" s="231">
        <f>W45*X45</f>
        <v>453600</v>
      </c>
    </row>
    <row r="47" spans="1:25" ht="15.75">
      <c r="A47" s="314" t="s">
        <v>471</v>
      </c>
      <c r="B47" s="314"/>
      <c r="C47" s="315"/>
      <c r="D47" s="315"/>
      <c r="E47" s="315"/>
      <c r="F47" s="314"/>
      <c r="G47" s="314"/>
      <c r="H47" s="314"/>
      <c r="I47" s="314"/>
      <c r="J47" s="314"/>
      <c r="K47" s="314"/>
      <c r="L47" s="314"/>
      <c r="M47" s="314"/>
      <c r="N47" s="314"/>
      <c r="O47" s="314"/>
    </row>
    <row r="48" spans="1:25" ht="15.75">
      <c r="H48" s="349"/>
    </row>
    <row r="49" spans="2:17" ht="15.75" thickBot="1">
      <c r="B49" t="s">
        <v>472</v>
      </c>
    </row>
    <row r="50" spans="2:17" ht="16.5" thickBot="1">
      <c r="B50" s="317" t="s">
        <v>473</v>
      </c>
      <c r="C50" s="350" t="str">
        <f t="shared" ref="C50:O50" si="19">C3</f>
        <v>FY18-19</v>
      </c>
      <c r="D50" s="350" t="str">
        <f t="shared" si="19"/>
        <v>FY19-20</v>
      </c>
      <c r="E50" s="350" t="str">
        <f t="shared" si="19"/>
        <v>FY20-21</v>
      </c>
      <c r="F50" s="350" t="str">
        <f t="shared" si="19"/>
        <v>FY21-22</v>
      </c>
      <c r="G50" s="350" t="str">
        <f t="shared" si="19"/>
        <v>FY22-23</v>
      </c>
      <c r="H50" s="350" t="str">
        <f t="shared" si="19"/>
        <v>FY23-24</v>
      </c>
      <c r="I50" s="350" t="str">
        <f t="shared" si="19"/>
        <v>FY24-25</v>
      </c>
      <c r="J50" s="350" t="str">
        <f t="shared" si="19"/>
        <v>FY25-26</v>
      </c>
      <c r="K50" s="350" t="str">
        <f t="shared" si="19"/>
        <v>FY26-27</v>
      </c>
      <c r="L50" s="350" t="str">
        <f t="shared" si="19"/>
        <v>FY27-28</v>
      </c>
      <c r="M50" s="350" t="str">
        <f t="shared" si="19"/>
        <v>FY28-29</v>
      </c>
      <c r="N50" s="350" t="str">
        <f t="shared" si="19"/>
        <v>FY29-30</v>
      </c>
      <c r="O50" s="350" t="str">
        <f t="shared" si="19"/>
        <v>FY30-31</v>
      </c>
    </row>
    <row r="51" spans="2:17">
      <c r="B51" s="31" t="s">
        <v>474</v>
      </c>
      <c r="N51" s="9"/>
      <c r="O51" s="9"/>
    </row>
    <row r="52" spans="2:17" ht="16.5" thickBot="1">
      <c r="B52" s="351" t="str">
        <f>[2]Aft_Staffing_FY23!I4</f>
        <v xml:space="preserve">Lead Teacher </v>
      </c>
      <c r="C52" s="352"/>
      <c r="D52" s="353">
        <v>0.03</v>
      </c>
      <c r="E52" s="353">
        <v>0.03</v>
      </c>
      <c r="F52" s="353">
        <v>0.03</v>
      </c>
      <c r="G52" s="353">
        <v>0.03</v>
      </c>
      <c r="H52" s="353">
        <v>0.03</v>
      </c>
      <c r="I52" s="353">
        <v>0.03</v>
      </c>
      <c r="J52" s="353">
        <v>0.03</v>
      </c>
      <c r="K52" s="353">
        <v>0.03</v>
      </c>
      <c r="L52" s="353">
        <v>0.03</v>
      </c>
      <c r="M52" s="353">
        <v>0.03</v>
      </c>
      <c r="N52" s="353">
        <v>0.03</v>
      </c>
      <c r="O52" s="353">
        <v>0.03</v>
      </c>
    </row>
    <row r="53" spans="2:17" ht="16.5" thickBot="1">
      <c r="B53" s="351" t="str">
        <f>[2]Aft_Staffing_FY23!I5</f>
        <v>SPED, Specials, Supports</v>
      </c>
      <c r="C53" s="352"/>
      <c r="D53" s="353">
        <v>0.03</v>
      </c>
      <c r="E53" s="353">
        <v>0.03</v>
      </c>
      <c r="F53" s="353">
        <v>0.03</v>
      </c>
      <c r="G53" s="353">
        <v>0.03</v>
      </c>
      <c r="H53" s="353">
        <v>0.03</v>
      </c>
      <c r="I53" s="353">
        <v>0.03</v>
      </c>
      <c r="J53" s="353">
        <v>0.03</v>
      </c>
      <c r="K53" s="353">
        <v>0.03</v>
      </c>
      <c r="L53" s="353">
        <v>0.03</v>
      </c>
      <c r="M53" s="353">
        <v>0.03</v>
      </c>
      <c r="N53" s="353">
        <v>0.03</v>
      </c>
      <c r="O53" s="353">
        <v>0.03</v>
      </c>
    </row>
    <row r="54" spans="2:17" ht="16.5" thickBot="1">
      <c r="B54" s="351" t="str">
        <f>[2]Aft_Staffing_FY23!I6</f>
        <v xml:space="preserve">Principal </v>
      </c>
      <c r="C54" s="352"/>
      <c r="D54" s="353">
        <v>0.03</v>
      </c>
      <c r="E54" s="353">
        <v>0.03</v>
      </c>
      <c r="F54" s="353">
        <v>0.03</v>
      </c>
      <c r="G54" s="353">
        <v>0.03</v>
      </c>
      <c r="H54" s="353">
        <v>0.03</v>
      </c>
      <c r="I54" s="353">
        <v>0.03</v>
      </c>
      <c r="J54" s="353">
        <v>0.03</v>
      </c>
      <c r="K54" s="353">
        <v>0.03</v>
      </c>
      <c r="L54" s="353">
        <v>0.03</v>
      </c>
      <c r="M54" s="353">
        <v>0.03</v>
      </c>
      <c r="N54" s="353">
        <v>0.03</v>
      </c>
      <c r="O54" s="353">
        <v>0.03</v>
      </c>
    </row>
    <row r="55" spans="2:17" ht="16.5" thickBot="1">
      <c r="B55" s="351" t="str">
        <f>[2]Aft_Staffing_FY23!I7</f>
        <v>Operations, Admin, APs</v>
      </c>
      <c r="C55" s="352"/>
      <c r="D55" s="353">
        <v>0.03</v>
      </c>
      <c r="E55" s="353">
        <v>0.03</v>
      </c>
      <c r="F55" s="353">
        <v>0.03</v>
      </c>
      <c r="G55" s="353">
        <v>0.03</v>
      </c>
      <c r="H55" s="353">
        <v>0.03</v>
      </c>
      <c r="I55" s="353">
        <v>0.03</v>
      </c>
      <c r="J55" s="353">
        <v>0.03</v>
      </c>
      <c r="K55" s="353">
        <v>0.03</v>
      </c>
      <c r="L55" s="353">
        <v>0.03</v>
      </c>
      <c r="M55" s="353">
        <v>0.03</v>
      </c>
      <c r="N55" s="353">
        <v>0.03</v>
      </c>
      <c r="O55" s="353">
        <v>0.03</v>
      </c>
    </row>
    <row r="56" spans="2:17" ht="16.5" thickBot="1">
      <c r="B56" s="351" t="str">
        <f>[2]Aft_Staffing_FY23!I8</f>
        <v>Central - Exec</v>
      </c>
      <c r="C56" s="352"/>
      <c r="D56" s="353">
        <v>0.03</v>
      </c>
      <c r="E56" s="353">
        <v>0.03</v>
      </c>
      <c r="F56" s="353">
        <v>0.03</v>
      </c>
      <c r="G56" s="353">
        <v>0.03</v>
      </c>
      <c r="H56" s="353">
        <v>0.03</v>
      </c>
      <c r="I56" s="353">
        <v>0.03</v>
      </c>
      <c r="J56" s="353">
        <v>0.03</v>
      </c>
      <c r="K56" s="353">
        <v>0.03</v>
      </c>
      <c r="L56" s="353">
        <v>0.03</v>
      </c>
      <c r="M56" s="353">
        <v>0.03</v>
      </c>
      <c r="N56" s="353">
        <v>0.03</v>
      </c>
      <c r="O56" s="353">
        <v>0.03</v>
      </c>
    </row>
    <row r="57" spans="2:17" ht="16.5" thickBot="1">
      <c r="B57" s="351" t="str">
        <f>[2]Aft_Staffing_FY23!I9</f>
        <v>Cental - Academic</v>
      </c>
      <c r="C57" s="352"/>
      <c r="D57" s="353">
        <v>0.03</v>
      </c>
      <c r="E57" s="353">
        <v>0.03</v>
      </c>
      <c r="F57" s="353">
        <v>0.03</v>
      </c>
      <c r="G57" s="353">
        <v>0.03</v>
      </c>
      <c r="H57" s="353">
        <v>0.03</v>
      </c>
      <c r="I57" s="353">
        <v>0.03</v>
      </c>
      <c r="J57" s="353">
        <v>0.03</v>
      </c>
      <c r="K57" s="353">
        <v>0.03</v>
      </c>
      <c r="L57" s="353">
        <v>0.03</v>
      </c>
      <c r="M57" s="353">
        <v>0.03</v>
      </c>
      <c r="N57" s="353">
        <v>0.03</v>
      </c>
      <c r="O57" s="353">
        <v>0.03</v>
      </c>
    </row>
    <row r="58" spans="2:17" ht="16.5" thickBot="1">
      <c r="B58" s="351" t="str">
        <f>[2]Aft_Staffing_FY23!I10</f>
        <v>Central - Ops</v>
      </c>
      <c r="C58" s="352"/>
      <c r="D58" s="353">
        <v>0.03</v>
      </c>
      <c r="E58" s="353">
        <v>0.03</v>
      </c>
      <c r="F58" s="353">
        <v>0.03</v>
      </c>
      <c r="G58" s="353">
        <v>0.03</v>
      </c>
      <c r="H58" s="353">
        <v>0.03</v>
      </c>
      <c r="I58" s="353">
        <v>0.03</v>
      </c>
      <c r="J58" s="353">
        <v>0.03</v>
      </c>
      <c r="K58" s="353">
        <v>0.03</v>
      </c>
      <c r="L58" s="353">
        <v>0.03</v>
      </c>
      <c r="M58" s="353">
        <v>0.03</v>
      </c>
      <c r="N58" s="353">
        <v>0.03</v>
      </c>
      <c r="O58" s="353">
        <v>0.03</v>
      </c>
    </row>
    <row r="59" spans="2:17" ht="16.5" thickBot="1">
      <c r="B59" s="351" t="str">
        <f>[2]Aft_Staffing_FY23!I11</f>
        <v xml:space="preserve">Central - Admin </v>
      </c>
      <c r="C59" s="352"/>
      <c r="D59" s="353">
        <v>0.03</v>
      </c>
      <c r="E59" s="353">
        <v>0.03</v>
      </c>
      <c r="F59" s="353">
        <v>0.03</v>
      </c>
      <c r="G59" s="353">
        <v>0.03</v>
      </c>
      <c r="H59" s="353">
        <v>0.03</v>
      </c>
      <c r="I59" s="353">
        <v>0.03</v>
      </c>
      <c r="J59" s="353">
        <v>0.03</v>
      </c>
      <c r="K59" s="353">
        <v>0.03</v>
      </c>
      <c r="L59" s="353">
        <v>0.03</v>
      </c>
      <c r="M59" s="353">
        <v>0.03</v>
      </c>
      <c r="N59" s="353">
        <v>0.03</v>
      </c>
      <c r="O59" s="353">
        <v>0.03</v>
      </c>
    </row>
    <row r="60" spans="2:17" ht="16.5" thickBot="1">
      <c r="B60" s="351" t="str">
        <f>[2]Aft_Staffing_FY23!I12</f>
        <v>Central - Finance</v>
      </c>
      <c r="C60" s="352"/>
      <c r="D60" s="353">
        <v>0.03</v>
      </c>
      <c r="E60" s="353">
        <v>0.03</v>
      </c>
      <c r="F60" s="353">
        <v>0.03</v>
      </c>
      <c r="G60" s="353">
        <v>0.03</v>
      </c>
      <c r="H60" s="353">
        <v>0.03</v>
      </c>
      <c r="I60" s="353">
        <v>0.03</v>
      </c>
      <c r="J60" s="353">
        <v>0.04</v>
      </c>
      <c r="K60" s="353">
        <v>0.03</v>
      </c>
      <c r="L60" s="353">
        <v>0.03</v>
      </c>
      <c r="M60" s="353">
        <v>0.03</v>
      </c>
      <c r="N60" s="353">
        <v>0.03</v>
      </c>
      <c r="O60" s="353">
        <v>0.03</v>
      </c>
    </row>
    <row r="61" spans="2:17" ht="16.5" thickBot="1">
      <c r="B61" s="351" t="str">
        <f>[2]Aft_Staffing_FY23!I13</f>
        <v xml:space="preserve">Central - Other Directors </v>
      </c>
      <c r="C61" s="352"/>
      <c r="D61" s="353">
        <v>0.03</v>
      </c>
      <c r="E61" s="353">
        <v>0.03</v>
      </c>
      <c r="F61" s="353">
        <v>0.03</v>
      </c>
      <c r="G61" s="353">
        <v>0.03</v>
      </c>
      <c r="H61" s="353">
        <v>0.03</v>
      </c>
      <c r="I61" s="353">
        <v>0.03</v>
      </c>
      <c r="J61" s="353">
        <v>0.03</v>
      </c>
      <c r="K61" s="353">
        <v>0.03</v>
      </c>
      <c r="L61" s="353">
        <v>0.03</v>
      </c>
      <c r="M61" s="353">
        <v>0.03</v>
      </c>
      <c r="N61" s="353">
        <v>0.03</v>
      </c>
      <c r="O61" s="353">
        <v>0.03</v>
      </c>
    </row>
    <row r="62" spans="2:17">
      <c r="B62" s="8"/>
      <c r="N62" s="9"/>
      <c r="O62" s="9"/>
    </row>
    <row r="63" spans="2:17">
      <c r="B63" s="354" t="s">
        <v>475</v>
      </c>
      <c r="N63" s="9"/>
      <c r="O63" s="9"/>
    </row>
    <row r="64" spans="2:17" ht="16.5" thickBot="1">
      <c r="B64" s="8" t="str">
        <f>[2]STAFF_CP!B81</f>
        <v>Tutors/After-School</v>
      </c>
      <c r="C64" s="352"/>
      <c r="D64" s="352"/>
      <c r="E64" s="352"/>
      <c r="F64" s="355">
        <f>[2]STAFF_CP!F81/[2]STAFF_CP!F$37</f>
        <v>2137.0114942528735</v>
      </c>
      <c r="G64" s="356">
        <f t="shared" ref="G64:O66" si="20">F64</f>
        <v>2137.0114942528735</v>
      </c>
      <c r="H64" s="356">
        <f t="shared" si="20"/>
        <v>2137.0114942528735</v>
      </c>
      <c r="I64" s="356">
        <f t="shared" si="20"/>
        <v>2137.0114942528735</v>
      </c>
      <c r="J64" s="356">
        <f t="shared" si="20"/>
        <v>2137.0114942528735</v>
      </c>
      <c r="K64" s="356">
        <f t="shared" si="20"/>
        <v>2137.0114942528735</v>
      </c>
      <c r="L64" s="356">
        <f t="shared" si="20"/>
        <v>2137.0114942528735</v>
      </c>
      <c r="M64" s="356">
        <f t="shared" si="20"/>
        <v>2137.0114942528735</v>
      </c>
      <c r="N64" s="356">
        <f t="shared" si="20"/>
        <v>2137.0114942528735</v>
      </c>
      <c r="O64" s="356">
        <f t="shared" si="20"/>
        <v>2137.0114942528735</v>
      </c>
      <c r="Q64" s="264"/>
    </row>
    <row r="65" spans="2:16" ht="16.5" thickBot="1">
      <c r="B65" s="8" t="str">
        <f>[2]STAFF_CP!B82</f>
        <v xml:space="preserve">Total Stipends </v>
      </c>
      <c r="C65" s="352"/>
      <c r="D65" s="352"/>
      <c r="E65" s="352"/>
      <c r="F65" s="355">
        <f>[2]STAFF_CP!F82/[2]STAFF_CP!F$37</f>
        <v>1597.7011494252874</v>
      </c>
      <c r="G65" s="356">
        <f>F65/2</f>
        <v>798.85057471264372</v>
      </c>
      <c r="H65" s="356">
        <f t="shared" si="20"/>
        <v>798.85057471264372</v>
      </c>
      <c r="I65" s="356">
        <f t="shared" si="20"/>
        <v>798.85057471264372</v>
      </c>
      <c r="J65" s="356">
        <f t="shared" si="20"/>
        <v>798.85057471264372</v>
      </c>
      <c r="K65" s="356">
        <f t="shared" si="20"/>
        <v>798.85057471264372</v>
      </c>
      <c r="L65" s="356">
        <f t="shared" si="20"/>
        <v>798.85057471264372</v>
      </c>
      <c r="M65" s="356">
        <f t="shared" si="20"/>
        <v>798.85057471264372</v>
      </c>
      <c r="N65" s="356">
        <f t="shared" si="20"/>
        <v>798.85057471264372</v>
      </c>
      <c r="O65" s="356">
        <f t="shared" si="20"/>
        <v>798.85057471264372</v>
      </c>
    </row>
    <row r="66" spans="2:16" ht="16.5" thickBot="1">
      <c r="B66" s="8" t="str">
        <f>[2]STAFF_CP!B83</f>
        <v xml:space="preserve">Bonuses/Supply Stipend </v>
      </c>
      <c r="C66" s="352"/>
      <c r="D66" s="352"/>
      <c r="E66" s="352"/>
      <c r="F66" s="355">
        <f>[2]STAFF_CP!F83/[2]STAFF_CP!F$37</f>
        <v>888.50574712643675</v>
      </c>
      <c r="G66" s="356">
        <f t="shared" si="20"/>
        <v>888.50574712643675</v>
      </c>
      <c r="H66" s="356">
        <f t="shared" si="20"/>
        <v>888.50574712643675</v>
      </c>
      <c r="I66" s="356">
        <f t="shared" si="20"/>
        <v>888.50574712643675</v>
      </c>
      <c r="J66" s="356">
        <f t="shared" si="20"/>
        <v>888.50574712643675</v>
      </c>
      <c r="K66" s="356">
        <f t="shared" si="20"/>
        <v>888.50574712643675</v>
      </c>
      <c r="L66" s="356">
        <f t="shared" si="20"/>
        <v>888.50574712643675</v>
      </c>
      <c r="M66" s="356">
        <f t="shared" si="20"/>
        <v>888.50574712643675</v>
      </c>
      <c r="N66" s="356">
        <f t="shared" si="20"/>
        <v>888.50574712643675</v>
      </c>
      <c r="O66" s="356">
        <f t="shared" si="20"/>
        <v>888.50574712643675</v>
      </c>
    </row>
    <row r="67" spans="2:16">
      <c r="B67" s="8"/>
      <c r="N67" s="9"/>
      <c r="O67" s="9"/>
    </row>
    <row r="68" spans="2:16">
      <c r="B68" s="357" t="s">
        <v>476</v>
      </c>
      <c r="N68" s="9"/>
      <c r="O68" s="9"/>
    </row>
    <row r="69" spans="2:16" ht="16.5" thickBot="1">
      <c r="B69" s="351" t="s">
        <v>477</v>
      </c>
      <c r="C69" s="358">
        <v>7.6499999999999999E-2</v>
      </c>
      <c r="D69" s="358">
        <v>7.6499999999999999E-2</v>
      </c>
      <c r="E69" s="358">
        <v>7.6499999999999999E-2</v>
      </c>
      <c r="F69" s="358">
        <v>7.6499999999999999E-2</v>
      </c>
      <c r="G69" s="358">
        <f>'[2]Payroll Taxes FY23'!C4+'[2]Payroll Taxes FY23'!C5</f>
        <v>7.6499999999999999E-2</v>
      </c>
      <c r="H69" s="358">
        <f t="shared" ref="H69:O69" si="21">G69</f>
        <v>7.6499999999999999E-2</v>
      </c>
      <c r="I69" s="358">
        <f t="shared" si="21"/>
        <v>7.6499999999999999E-2</v>
      </c>
      <c r="J69" s="358">
        <f t="shared" si="21"/>
        <v>7.6499999999999999E-2</v>
      </c>
      <c r="K69" s="358">
        <f t="shared" si="21"/>
        <v>7.6499999999999999E-2</v>
      </c>
      <c r="L69" s="358">
        <f t="shared" si="21"/>
        <v>7.6499999999999999E-2</v>
      </c>
      <c r="M69" s="358">
        <f t="shared" si="21"/>
        <v>7.6499999999999999E-2</v>
      </c>
      <c r="N69" s="359">
        <f t="shared" si="21"/>
        <v>7.6499999999999999E-2</v>
      </c>
      <c r="O69" s="359">
        <f t="shared" si="21"/>
        <v>7.6499999999999999E-2</v>
      </c>
    </row>
    <row r="70" spans="2:16" ht="16.5" thickBot="1">
      <c r="B70" s="360" t="s">
        <v>478</v>
      </c>
      <c r="C70" s="361">
        <f>'[2]Actual FY RevExp FY22'!C28/[2]STAFF_CP!C37</f>
        <v>9654.6163157894734</v>
      </c>
      <c r="D70" s="361">
        <f>'[2]Actual FY RevExp FY22'!D28/[2]STAFF_CP!D37</f>
        <v>10168.4452</v>
      </c>
      <c r="E70" s="361">
        <f>'[2]Actual FY RevExp FY22'!E28/[2]STAFF_CP!E37</f>
        <v>11237.200294117647</v>
      </c>
      <c r="F70" s="361">
        <f>'[2]Budget Overview FY23'!F25/[2]STAFF_CP!F37</f>
        <v>14122.921379310344</v>
      </c>
      <c r="G70" s="361">
        <f>'[2]Employee Benefits FY23'!B11/[2]STAFF_CP!G37</f>
        <v>15731.632653061224</v>
      </c>
      <c r="H70" s="361">
        <f t="shared" ref="H70:O70" si="22">(1+H76)*G70</f>
        <v>16046.265306122448</v>
      </c>
      <c r="I70" s="361">
        <f t="shared" si="22"/>
        <v>16367.190612244898</v>
      </c>
      <c r="J70" s="361">
        <f t="shared" si="22"/>
        <v>16694.534424489797</v>
      </c>
      <c r="K70" s="361">
        <f t="shared" si="22"/>
        <v>17028.425112979592</v>
      </c>
      <c r="L70" s="361">
        <f t="shared" si="22"/>
        <v>17368.993615239186</v>
      </c>
      <c r="M70" s="361">
        <f t="shared" si="22"/>
        <v>17716.37348754397</v>
      </c>
      <c r="N70" s="361">
        <f t="shared" si="22"/>
        <v>18070.700957294848</v>
      </c>
      <c r="O70" s="361">
        <f t="shared" si="22"/>
        <v>18432.114976440746</v>
      </c>
      <c r="P70" t="s">
        <v>479</v>
      </c>
    </row>
    <row r="71" spans="2:16">
      <c r="F71" s="272"/>
    </row>
    <row r="73" spans="2:16" ht="15.75" thickBot="1"/>
    <row r="74" spans="2:16" ht="16.5" thickBot="1">
      <c r="B74" s="362" t="s">
        <v>480</v>
      </c>
      <c r="C74" s="350" t="s">
        <v>421</v>
      </c>
      <c r="D74" s="350" t="s">
        <v>422</v>
      </c>
      <c r="E74" s="350" t="s">
        <v>423</v>
      </c>
      <c r="F74" s="350" t="s">
        <v>424</v>
      </c>
      <c r="G74" s="350" t="s">
        <v>425</v>
      </c>
      <c r="H74" s="350" t="s">
        <v>388</v>
      </c>
      <c r="I74" s="350" t="s">
        <v>389</v>
      </c>
      <c r="J74" s="350" t="s">
        <v>390</v>
      </c>
      <c r="K74" s="350" t="s">
        <v>391</v>
      </c>
      <c r="L74" s="350" t="s">
        <v>392</v>
      </c>
      <c r="M74" s="350" t="s">
        <v>393</v>
      </c>
      <c r="N74" s="350" t="s">
        <v>394</v>
      </c>
      <c r="O74" s="350" t="s">
        <v>394</v>
      </c>
    </row>
    <row r="76" spans="2:16" ht="16.5" thickBot="1">
      <c r="B76" s="87" t="s">
        <v>481</v>
      </c>
      <c r="C76" s="363" t="s">
        <v>429</v>
      </c>
      <c r="D76" s="364">
        <v>0.02</v>
      </c>
      <c r="E76" s="364">
        <v>0.02</v>
      </c>
      <c r="F76" s="364">
        <v>0.02</v>
      </c>
      <c r="G76" s="365">
        <v>0.02</v>
      </c>
      <c r="H76" s="353">
        <f>G76</f>
        <v>0.02</v>
      </c>
      <c r="I76" s="353">
        <f t="shared" ref="I76:O76" si="23">H76</f>
        <v>0.02</v>
      </c>
      <c r="J76" s="353">
        <f t="shared" si="23"/>
        <v>0.02</v>
      </c>
      <c r="K76" s="353">
        <f t="shared" si="23"/>
        <v>0.02</v>
      </c>
      <c r="L76" s="353">
        <f t="shared" si="23"/>
        <v>0.02</v>
      </c>
      <c r="M76" s="353">
        <f t="shared" si="23"/>
        <v>0.02</v>
      </c>
      <c r="N76" s="353">
        <f t="shared" si="23"/>
        <v>0.02</v>
      </c>
      <c r="O76" s="353">
        <f t="shared" si="23"/>
        <v>0.02</v>
      </c>
    </row>
    <row r="77" spans="2:16" ht="15.75">
      <c r="B77" s="87" t="s">
        <v>482</v>
      </c>
      <c r="C77" s="366"/>
      <c r="D77" s="366"/>
      <c r="E77" s="366"/>
      <c r="F77" s="366"/>
      <c r="G77" s="366"/>
      <c r="H77" s="365">
        <v>2.5000000000000001E-2</v>
      </c>
      <c r="I77" s="365">
        <v>2.5000000000000001E-2</v>
      </c>
      <c r="J77" s="365">
        <v>2.5000000000000001E-2</v>
      </c>
      <c r="K77" s="365">
        <v>2.5000000000000001E-2</v>
      </c>
      <c r="L77" s="365">
        <v>2.5000000000000001E-2</v>
      </c>
      <c r="M77" s="365">
        <v>2.5000000000000001E-2</v>
      </c>
      <c r="N77" s="365">
        <v>2.5000000000000001E-2</v>
      </c>
      <c r="O77" s="365">
        <v>2.5000000000000001E-2</v>
      </c>
    </row>
    <row r="79" spans="2:16">
      <c r="B79" s="250" t="s">
        <v>483</v>
      </c>
    </row>
    <row r="80" spans="2:16">
      <c r="B80" t="s">
        <v>341</v>
      </c>
    </row>
    <row r="81" spans="2:28" ht="16.5" thickBot="1">
      <c r="B81" s="240" t="s">
        <v>344</v>
      </c>
      <c r="C81" s="361">
        <f>'[2]Actual FY RevExp FY23'!C30/ENROLLMENT!C32</f>
        <v>255.88878787878787</v>
      </c>
      <c r="D81" s="361">
        <f>'[2]Actual FY RevExp FY23'!D30/ENROLLMENT!D32</f>
        <v>336.65335714285715</v>
      </c>
      <c r="E81" s="361">
        <f>'[2]Actual FY RevExp FY23'!E30/ENROLLMENT!E32</f>
        <v>126.47995327102804</v>
      </c>
      <c r="F81" s="361">
        <f>'[2]Budget Overview FY23'!F27/ENROLLMENT!F32</f>
        <v>116.60839160839161</v>
      </c>
      <c r="G81" s="361">
        <f>'[2]Budget Overview FY23'!G27/ENROLLMENT!G32</f>
        <v>528.05486284289282</v>
      </c>
      <c r="H81" s="361">
        <f t="shared" ref="H81:O81" si="24">G81</f>
        <v>528.05486284289282</v>
      </c>
      <c r="I81" s="361">
        <f t="shared" si="24"/>
        <v>528.05486284289282</v>
      </c>
      <c r="J81" s="361">
        <f t="shared" si="24"/>
        <v>528.05486284289282</v>
      </c>
      <c r="K81" s="361">
        <f t="shared" si="24"/>
        <v>528.05486284289282</v>
      </c>
      <c r="L81" s="361">
        <f t="shared" si="24"/>
        <v>528.05486284289282</v>
      </c>
      <c r="M81" s="361">
        <f t="shared" si="24"/>
        <v>528.05486284289282</v>
      </c>
      <c r="N81" s="361">
        <f t="shared" si="24"/>
        <v>528.05486284289282</v>
      </c>
      <c r="O81" s="361">
        <f t="shared" si="24"/>
        <v>528.05486284289282</v>
      </c>
      <c r="S81" s="163" t="s">
        <v>484</v>
      </c>
      <c r="Y81" s="163" t="s">
        <v>485</v>
      </c>
    </row>
    <row r="82" spans="2:28">
      <c r="B82" t="s">
        <v>354</v>
      </c>
      <c r="C82" s="240"/>
      <c r="D82" s="240"/>
      <c r="E82" s="240"/>
      <c r="F82" s="240"/>
      <c r="G82" s="240"/>
      <c r="H82" s="240"/>
      <c r="I82" s="240"/>
      <c r="J82" s="240"/>
      <c r="K82" s="240"/>
      <c r="L82" s="240"/>
      <c r="M82" s="240"/>
      <c r="N82" s="240"/>
      <c r="O82" s="240"/>
      <c r="S82" t="s">
        <v>486</v>
      </c>
      <c r="V82" s="346">
        <v>45000</v>
      </c>
      <c r="Y82" t="s">
        <v>486</v>
      </c>
      <c r="AB82" s="367">
        <f>'[2]Chuch Facility'!$S$33</f>
        <v>12000</v>
      </c>
    </row>
    <row r="83" spans="2:28" ht="16.5" thickBot="1">
      <c r="B83" s="240" t="s">
        <v>487</v>
      </c>
      <c r="C83" s="361">
        <f>'[2]Actual FY RevExp FY23'!C38</f>
        <v>17634.04</v>
      </c>
      <c r="D83" s="361">
        <f>'[2]Actual FY RevExp FY23'!D38</f>
        <v>60272.93</v>
      </c>
      <c r="E83" s="361">
        <f>'[2]Actual FY RevExp FY23'!E38</f>
        <v>71998.42</v>
      </c>
      <c r="F83" s="361">
        <f>'[2]Budget Overview FY23'!E34</f>
        <v>75821.25</v>
      </c>
      <c r="G83" s="361">
        <f>'[2]Budget Overview FY23'!F34</f>
        <v>122431.17</v>
      </c>
      <c r="H83" s="361">
        <f>'[2]Budget Overview FY23'!G34</f>
        <v>122431.17</v>
      </c>
      <c r="I83" s="361">
        <f t="shared" ref="I83:O83" si="25">H83*(1+I76)</f>
        <v>124879.7934</v>
      </c>
      <c r="J83" s="361">
        <f t="shared" si="25"/>
        <v>127377.389268</v>
      </c>
      <c r="K83" s="361">
        <f t="shared" si="25"/>
        <v>129924.93705336</v>
      </c>
      <c r="L83" s="361">
        <f t="shared" si="25"/>
        <v>132523.43579442721</v>
      </c>
      <c r="M83" s="361">
        <f t="shared" si="25"/>
        <v>135173.90451031574</v>
      </c>
      <c r="N83" s="361">
        <f t="shared" si="25"/>
        <v>137877.38260052205</v>
      </c>
      <c r="O83" s="361">
        <f t="shared" si="25"/>
        <v>140634.9302525325</v>
      </c>
      <c r="S83" t="s">
        <v>488</v>
      </c>
      <c r="V83">
        <f>ENROLLMENT!K32</f>
        <v>672</v>
      </c>
      <c r="Y83" t="s">
        <v>489</v>
      </c>
      <c r="AB83">
        <f>700-550</f>
        <v>150</v>
      </c>
    </row>
    <row r="84" spans="2:28">
      <c r="B84" t="s">
        <v>490</v>
      </c>
      <c r="S84" t="s">
        <v>491</v>
      </c>
      <c r="V84" s="368">
        <f>V82/V83</f>
        <v>66.964285714285708</v>
      </c>
      <c r="Y84" t="s">
        <v>491</v>
      </c>
      <c r="AB84" s="368">
        <f>AB82/AB83</f>
        <v>80</v>
      </c>
    </row>
    <row r="85" spans="2:28" ht="16.5" thickBot="1">
      <c r="B85" s="240" t="s">
        <v>492</v>
      </c>
      <c r="C85" s="361">
        <f>'[2]Actual FY RevExp FY22'!C32/ENROLLMENT!C32</f>
        <v>7197.8121212121205</v>
      </c>
      <c r="D85" s="361">
        <f>'[2]Actual FY RevExp FY22'!D32/ENROLLMENT!D32</f>
        <v>4226.3645714285713</v>
      </c>
      <c r="E85" s="361">
        <f>'[2]Actual FY RevExp FY22'!E32/ENROLLMENT!E32</f>
        <v>1983.6616822429905</v>
      </c>
      <c r="F85" s="369">
        <f>'[2]Budget Overview FY23'!F28/ENROLLMENT!F32</f>
        <v>2897.3678671328671</v>
      </c>
      <c r="G85" s="361">
        <f>'[2]Contracted Services FY23'!F66</f>
        <v>2037.7518453865339</v>
      </c>
      <c r="H85" s="361">
        <f t="shared" ref="H85:O85" si="26">G85*(1+H76)</f>
        <v>2078.5068822942644</v>
      </c>
      <c r="I85" s="361">
        <f t="shared" si="26"/>
        <v>2120.07701994015</v>
      </c>
      <c r="J85" s="361">
        <f t="shared" si="26"/>
        <v>2162.4785603389532</v>
      </c>
      <c r="K85" s="361">
        <f t="shared" si="26"/>
        <v>2205.7281315457321</v>
      </c>
      <c r="L85" s="361">
        <f t="shared" si="26"/>
        <v>2249.842694176647</v>
      </c>
      <c r="M85" s="361">
        <f t="shared" si="26"/>
        <v>2294.8395480601798</v>
      </c>
      <c r="N85" s="361">
        <f t="shared" si="26"/>
        <v>2340.7363390213836</v>
      </c>
      <c r="O85" s="361">
        <f t="shared" si="26"/>
        <v>2387.5510658018115</v>
      </c>
      <c r="S85" t="s">
        <v>493</v>
      </c>
      <c r="V85" s="370">
        <f>'[2]Contracted Services FY23'!$B$67/45000</f>
        <v>6.9252631111111107</v>
      </c>
      <c r="Y85" t="s">
        <v>493</v>
      </c>
      <c r="AB85" s="370">
        <f>V85</f>
        <v>6.9252631111111107</v>
      </c>
    </row>
    <row r="86" spans="2:28" ht="16.5" thickBot="1">
      <c r="B86" s="240" t="s">
        <v>494</v>
      </c>
      <c r="C86" s="361"/>
      <c r="D86" s="361"/>
      <c r="E86" s="361"/>
      <c r="F86" s="361">
        <v>0</v>
      </c>
      <c r="G86" s="369">
        <f>'[2]Contracted Services FY23'!$B$67+AB89</f>
        <v>394739.9973333333</v>
      </c>
      <c r="H86" s="361">
        <f t="shared" ref="H86" si="27">G86*(1+H76)</f>
        <v>402634.79728</v>
      </c>
      <c r="I86" s="361">
        <f>H86*(1+I$76)</f>
        <v>410687.49322559999</v>
      </c>
      <c r="J86" s="361">
        <f t="shared" ref="J86:O88" si="28">I86*(1+J$76)</f>
        <v>418901.243090112</v>
      </c>
      <c r="K86" s="361">
        <f t="shared" si="28"/>
        <v>427279.26795191423</v>
      </c>
      <c r="L86" s="361">
        <f t="shared" si="28"/>
        <v>435824.85331095255</v>
      </c>
      <c r="M86" s="361">
        <f t="shared" si="28"/>
        <v>444541.35037717159</v>
      </c>
      <c r="N86" s="361">
        <f t="shared" si="28"/>
        <v>453432.177384715</v>
      </c>
      <c r="O86" s="361">
        <f t="shared" si="28"/>
        <v>462500.82093240932</v>
      </c>
      <c r="S86" s="87" t="s">
        <v>495</v>
      </c>
      <c r="T86" s="87"/>
      <c r="U86" s="87"/>
      <c r="V86" s="371">
        <f>V85*V82</f>
        <v>311636.83999999997</v>
      </c>
      <c r="Y86" s="87" t="s">
        <v>496</v>
      </c>
      <c r="Z86" s="87"/>
      <c r="AA86" s="87"/>
      <c r="AB86" s="371">
        <f>AB85*AB82</f>
        <v>83103.157333333322</v>
      </c>
    </row>
    <row r="87" spans="2:28" ht="16.5" thickBot="1">
      <c r="B87" s="240" t="s">
        <v>497</v>
      </c>
      <c r="C87" s="361"/>
      <c r="D87" s="361"/>
      <c r="E87" s="361"/>
      <c r="F87" s="361">
        <v>0</v>
      </c>
      <c r="G87" s="361"/>
      <c r="H87" s="361"/>
      <c r="I87" s="361">
        <f>V86</f>
        <v>311636.83999999997</v>
      </c>
      <c r="J87" s="361">
        <f>I87*(1+J$76)</f>
        <v>317869.57679999998</v>
      </c>
      <c r="K87" s="361">
        <f t="shared" si="28"/>
        <v>324226.96833599999</v>
      </c>
      <c r="L87" s="361">
        <f t="shared" si="28"/>
        <v>330711.50770272</v>
      </c>
      <c r="M87" s="361">
        <f t="shared" si="28"/>
        <v>337325.73785677442</v>
      </c>
      <c r="N87" s="361">
        <f t="shared" si="28"/>
        <v>344072.25261390989</v>
      </c>
      <c r="O87" s="361">
        <f t="shared" si="28"/>
        <v>350953.69766618812</v>
      </c>
      <c r="S87" t="s">
        <v>498</v>
      </c>
      <c r="V87" s="231">
        <f>V86/V83</f>
        <v>463.74529761904756</v>
      </c>
      <c r="Y87" t="s">
        <v>498</v>
      </c>
      <c r="AB87" s="231">
        <f>AB86/AB83</f>
        <v>554.0210488888888</v>
      </c>
    </row>
    <row r="88" spans="2:28" ht="16.5" thickBot="1">
      <c r="B88" s="240" t="s">
        <v>499</v>
      </c>
      <c r="C88" s="361"/>
      <c r="D88" s="361"/>
      <c r="E88" s="361"/>
      <c r="F88" s="361"/>
      <c r="G88" s="361">
        <v>0</v>
      </c>
      <c r="H88" s="361">
        <f>G88</f>
        <v>0</v>
      </c>
      <c r="I88" s="361">
        <f>'[2]Contracted Services FY22'!G60</f>
        <v>551.41958041958048</v>
      </c>
      <c r="J88" s="361">
        <f>I88*(1+J$76)</f>
        <v>562.44797202797213</v>
      </c>
      <c r="K88" s="361">
        <f t="shared" si="28"/>
        <v>573.6969314685316</v>
      </c>
      <c r="L88" s="361">
        <f t="shared" si="28"/>
        <v>585.17087009790225</v>
      </c>
      <c r="M88" s="361">
        <f t="shared" si="28"/>
        <v>596.87428749986032</v>
      </c>
      <c r="N88" s="361">
        <f t="shared" si="28"/>
        <v>608.81177324985754</v>
      </c>
      <c r="O88" s="361">
        <f t="shared" si="28"/>
        <v>620.98800871485469</v>
      </c>
      <c r="Y88" t="s">
        <v>500</v>
      </c>
      <c r="AB88" s="372">
        <f>ENROLLMENT!$Q$37</f>
        <v>2</v>
      </c>
    </row>
    <row r="89" spans="2:28">
      <c r="B89" t="s">
        <v>361</v>
      </c>
      <c r="D89" s="258"/>
      <c r="E89" s="258"/>
      <c r="F89" s="258"/>
      <c r="Y89" t="s">
        <v>501</v>
      </c>
      <c r="AB89" s="231">
        <f>AB86*IF(AB88=1,0,1)</f>
        <v>83103.157333333322</v>
      </c>
    </row>
    <row r="90" spans="2:28" ht="16.5" thickBot="1">
      <c r="B90" s="240" t="s">
        <v>502</v>
      </c>
      <c r="C90" s="352" t="s">
        <v>429</v>
      </c>
      <c r="D90" s="373">
        <v>0</v>
      </c>
      <c r="E90" s="361">
        <v>0</v>
      </c>
      <c r="F90" s="374">
        <f>'[2]Budget Overview FY23'!F36/[2]STAFF_CP!F37</f>
        <v>4597.7011494252874</v>
      </c>
      <c r="G90" s="361">
        <f>'[2]Budget Overview FY23'!G36/[2]STAFF_CP!G37</f>
        <v>5142.8571428571431</v>
      </c>
      <c r="H90" s="361">
        <f t="shared" ref="H90:O90" si="29">G90*(1+H$76)</f>
        <v>5245.7142857142862</v>
      </c>
      <c r="I90" s="361">
        <f t="shared" si="29"/>
        <v>5350.6285714285723</v>
      </c>
      <c r="J90" s="361">
        <f t="shared" si="29"/>
        <v>5457.6411428571437</v>
      </c>
      <c r="K90" s="361">
        <f t="shared" si="29"/>
        <v>5566.793965714287</v>
      </c>
      <c r="L90" s="361">
        <f t="shared" si="29"/>
        <v>5678.1298450285731</v>
      </c>
      <c r="M90" s="361">
        <f t="shared" si="29"/>
        <v>5791.6924419291445</v>
      </c>
      <c r="N90" s="361">
        <f t="shared" si="29"/>
        <v>5907.5262907677279</v>
      </c>
      <c r="O90" s="361">
        <f t="shared" si="29"/>
        <v>6025.6768165830827</v>
      </c>
      <c r="P90" t="s">
        <v>503</v>
      </c>
    </row>
    <row r="91" spans="2:28">
      <c r="B91" t="s">
        <v>363</v>
      </c>
    </row>
    <row r="92" spans="2:28" ht="16.5" thickBot="1">
      <c r="B92" s="240" t="s">
        <v>504</v>
      </c>
      <c r="C92" s="352" t="s">
        <v>429</v>
      </c>
      <c r="D92" s="373">
        <v>0</v>
      </c>
      <c r="E92" s="373">
        <v>0</v>
      </c>
      <c r="F92" s="374">
        <f>'[2]Budget Overview FY23'!F38/[2]STAFF_CP!F37</f>
        <v>829.88505747126442</v>
      </c>
      <c r="G92" s="361">
        <f>'[2]Budget Overview FY23'!G38/[2]STAFF_CP!G37</f>
        <v>888.77551020408168</v>
      </c>
      <c r="H92" s="361">
        <f t="shared" ref="H92:O92" si="30">G92*(1+H$76)</f>
        <v>906.55102040816337</v>
      </c>
      <c r="I92" s="361">
        <f t="shared" si="30"/>
        <v>924.68204081632666</v>
      </c>
      <c r="J92" s="361">
        <f t="shared" si="30"/>
        <v>943.17568163265321</v>
      </c>
      <c r="K92" s="361">
        <f t="shared" si="30"/>
        <v>962.03919526530626</v>
      </c>
      <c r="L92" s="361">
        <f t="shared" si="30"/>
        <v>981.27997917061236</v>
      </c>
      <c r="M92" s="361">
        <f t="shared" si="30"/>
        <v>1000.9055787540246</v>
      </c>
      <c r="N92" s="361">
        <f t="shared" si="30"/>
        <v>1020.9236903291052</v>
      </c>
      <c r="O92" s="361">
        <f t="shared" si="30"/>
        <v>1041.3421641356872</v>
      </c>
    </row>
    <row r="93" spans="2:28">
      <c r="B93" t="s">
        <v>364</v>
      </c>
    </row>
    <row r="94" spans="2:28" ht="16.5" thickBot="1">
      <c r="B94" s="240" t="s">
        <v>504</v>
      </c>
      <c r="C94" s="352" t="s">
        <v>429</v>
      </c>
      <c r="D94" s="373">
        <v>0</v>
      </c>
      <c r="E94" s="373">
        <v>0</v>
      </c>
      <c r="F94" s="374">
        <f>'[2]Budget Overview FY23'!F40/[2]STAFF_CP!F37</f>
        <v>1774.4933333333336</v>
      </c>
      <c r="G94" s="361">
        <f>'[2]Budget Overview FY23'!G40/[2]STAFF_CP!G37</f>
        <v>2899.0706122448978</v>
      </c>
      <c r="H94" s="361">
        <f t="shared" ref="H94:O94" si="31">G94*(1+H$76)</f>
        <v>2957.0520244897957</v>
      </c>
      <c r="I94" s="361">
        <f t="shared" si="31"/>
        <v>3016.1930649795918</v>
      </c>
      <c r="J94" s="361">
        <f t="shared" si="31"/>
        <v>3076.5169262791837</v>
      </c>
      <c r="K94" s="361">
        <f t="shared" si="31"/>
        <v>3138.0472648047676</v>
      </c>
      <c r="L94" s="361">
        <f t="shared" si="31"/>
        <v>3200.8082101008631</v>
      </c>
      <c r="M94" s="361">
        <f t="shared" si="31"/>
        <v>3264.8243743028806</v>
      </c>
      <c r="N94" s="361">
        <f t="shared" si="31"/>
        <v>3330.1208617889383</v>
      </c>
      <c r="O94" s="361">
        <f t="shared" si="31"/>
        <v>3396.7232790247172</v>
      </c>
    </row>
    <row r="95" spans="2:28">
      <c r="B95" t="s">
        <v>365</v>
      </c>
    </row>
    <row r="96" spans="2:28" ht="16.5" thickBot="1">
      <c r="B96" s="240" t="s">
        <v>504</v>
      </c>
      <c r="C96" s="352" t="s">
        <v>429</v>
      </c>
      <c r="D96" s="373">
        <v>0</v>
      </c>
      <c r="E96" s="373">
        <v>0</v>
      </c>
      <c r="F96" s="374">
        <f>'[2]Budget Overview FY23'!F29/[2]STAFF_CP!F37</f>
        <v>126.43678160919541</v>
      </c>
      <c r="G96" s="361">
        <f>'[2]Budget Overview FY23'!G29/[2]STAFF_CP!G37</f>
        <v>295.91836734693879</v>
      </c>
      <c r="H96" s="361">
        <f t="shared" ref="H96:O96" si="32">G96*(1+H$76)</f>
        <v>301.83673469387759</v>
      </c>
      <c r="I96" s="361">
        <f t="shared" si="32"/>
        <v>307.87346938775516</v>
      </c>
      <c r="J96" s="361">
        <f t="shared" si="32"/>
        <v>314.03093877551026</v>
      </c>
      <c r="K96" s="361">
        <f t="shared" si="32"/>
        <v>320.31155755102048</v>
      </c>
      <c r="L96" s="361">
        <f t="shared" si="32"/>
        <v>326.71778870204088</v>
      </c>
      <c r="M96" s="361">
        <f t="shared" si="32"/>
        <v>333.2521444760817</v>
      </c>
      <c r="N96" s="361">
        <f t="shared" si="32"/>
        <v>339.91718736560335</v>
      </c>
      <c r="O96" s="361">
        <f t="shared" si="32"/>
        <v>346.71553111291541</v>
      </c>
    </row>
    <row r="97" spans="2:16">
      <c r="B97" t="s">
        <v>505</v>
      </c>
    </row>
    <row r="98" spans="2:16" ht="16.5" thickBot="1">
      <c r="B98" s="240" t="s">
        <v>506</v>
      </c>
      <c r="C98" s="366" t="s">
        <v>429</v>
      </c>
      <c r="D98" s="373">
        <v>0</v>
      </c>
      <c r="E98" s="373">
        <v>0</v>
      </c>
      <c r="F98" s="374">
        <f>'[2]Budget Overview FY23'!F37/[2]STAFF_CP!F37</f>
        <v>1462.183908045977</v>
      </c>
      <c r="G98" s="361">
        <f>'[2]Budget Overview FY23'!G37/[2]STAFF_CP!G37</f>
        <v>1373</v>
      </c>
      <c r="H98" s="361">
        <f t="shared" ref="H98:O98" si="33">G98*(1+H$76)</f>
        <v>1400.46</v>
      </c>
      <c r="I98" s="361">
        <f t="shared" si="33"/>
        <v>1428.4692</v>
      </c>
      <c r="J98" s="361">
        <f t="shared" si="33"/>
        <v>1457.0385840000001</v>
      </c>
      <c r="K98" s="361">
        <f t="shared" si="33"/>
        <v>1486.1793556800001</v>
      </c>
      <c r="L98" s="361">
        <f t="shared" si="33"/>
        <v>1515.9029427936</v>
      </c>
      <c r="M98" s="361">
        <f t="shared" si="33"/>
        <v>1546.2210016494721</v>
      </c>
      <c r="N98" s="361">
        <f t="shared" si="33"/>
        <v>1577.1454216824616</v>
      </c>
      <c r="O98" s="361">
        <f t="shared" si="33"/>
        <v>1608.6883301161108</v>
      </c>
    </row>
    <row r="99" spans="2:16">
      <c r="B99" s="240"/>
      <c r="C99" s="240"/>
      <c r="D99" s="240"/>
      <c r="E99" s="240"/>
      <c r="F99" s="240"/>
      <c r="G99" s="240"/>
      <c r="H99" s="240"/>
      <c r="I99" s="240"/>
      <c r="J99" s="240"/>
      <c r="K99" s="240"/>
      <c r="L99" s="240"/>
      <c r="M99" s="240"/>
      <c r="N99" s="240"/>
      <c r="O99" s="240"/>
    </row>
    <row r="100" spans="2:16">
      <c r="B100" s="87" t="s">
        <v>359</v>
      </c>
      <c r="C100" s="250" t="s">
        <v>507</v>
      </c>
    </row>
    <row r="101" spans="2:16" ht="16.5" thickBot="1">
      <c r="B101" s="240" t="s">
        <v>360</v>
      </c>
      <c r="C101" s="352" t="s">
        <v>429</v>
      </c>
      <c r="D101" s="353">
        <f>'[2]Actual FY RevExp FY22'!D39/'[2]Actual FY RevExp FY22'!C39-1</f>
        <v>1.8934656252977646</v>
      </c>
      <c r="E101" s="353">
        <f>'[2]Actual FY RevExp FY22'!E39/'[2]Actual FY RevExp FY22'!D39-1</f>
        <v>-0.55563758790887963</v>
      </c>
      <c r="F101" s="353">
        <f>'[2]Budget Overview FY23'!F35/'[2]Actual FY RevExp FY23'!E39-1</f>
        <v>1.8981950229457039</v>
      </c>
      <c r="G101" s="353">
        <f>'[2]Budget Overview FY23'!G35/'[2]Budget Overview FY23'!F35-1</f>
        <v>0.18641737695903227</v>
      </c>
      <c r="H101" s="353">
        <f t="shared" ref="H101:O108" si="34">H$76</f>
        <v>0.02</v>
      </c>
      <c r="I101" s="353">
        <f t="shared" si="34"/>
        <v>0.02</v>
      </c>
      <c r="J101" s="353">
        <f t="shared" si="34"/>
        <v>0.02</v>
      </c>
      <c r="K101" s="353">
        <f t="shared" si="34"/>
        <v>0.02</v>
      </c>
      <c r="L101" s="353">
        <f t="shared" si="34"/>
        <v>0.02</v>
      </c>
      <c r="M101" s="353">
        <f t="shared" si="34"/>
        <v>0.02</v>
      </c>
      <c r="N101" s="353">
        <f t="shared" si="34"/>
        <v>0.02</v>
      </c>
      <c r="O101" s="353">
        <f t="shared" si="34"/>
        <v>0.02</v>
      </c>
      <c r="P101" t="s">
        <v>508</v>
      </c>
    </row>
    <row r="102" spans="2:16" ht="16.5" thickBot="1">
      <c r="B102" s="240" t="s">
        <v>361</v>
      </c>
      <c r="C102" s="352" t="s">
        <v>429</v>
      </c>
      <c r="D102" s="353">
        <f>'[2]Actual FY RevExp FY22'!D40/'[2]Actual FY RevExp FY22'!C40-1</f>
        <v>0.70440208642812419</v>
      </c>
      <c r="E102" s="353">
        <f>'[2]Actual FY RevExp FY22'!E40/'[2]Actual FY RevExp FY22'!D40-1</f>
        <v>0.4447107353050499</v>
      </c>
      <c r="F102" s="353">
        <f>'[2]Budget Overview FY23'!F36/'[2]Actual FY RevExp FY23'!E40-1</f>
        <v>-0.12415666139730119</v>
      </c>
      <c r="G102" s="353">
        <f>'[2]Budget Overview FY23'!G36/'[2]Budget Overview FY23'!F36-1</f>
        <v>0.26</v>
      </c>
      <c r="H102" s="353">
        <f t="shared" si="34"/>
        <v>0.02</v>
      </c>
      <c r="I102" s="353">
        <f t="shared" si="34"/>
        <v>0.02</v>
      </c>
      <c r="J102" s="353">
        <f t="shared" si="34"/>
        <v>0.02</v>
      </c>
      <c r="K102" s="353">
        <f t="shared" si="34"/>
        <v>0.02</v>
      </c>
      <c r="L102" s="353">
        <f t="shared" si="34"/>
        <v>0.02</v>
      </c>
      <c r="M102" s="353">
        <f t="shared" si="34"/>
        <v>0.02</v>
      </c>
      <c r="N102" s="353">
        <f t="shared" si="34"/>
        <v>0.02</v>
      </c>
      <c r="O102" s="353">
        <f t="shared" si="34"/>
        <v>0.02</v>
      </c>
    </row>
    <row r="103" spans="2:16" ht="16.5" thickBot="1">
      <c r="B103" s="240" t="s">
        <v>362</v>
      </c>
      <c r="C103" s="352" t="s">
        <v>429</v>
      </c>
      <c r="D103" s="353">
        <f>'[2]Actual FY RevExp FY22'!D41/'[2]Actual FY RevExp FY22'!C41-1</f>
        <v>0.27389928388366336</v>
      </c>
      <c r="E103" s="353">
        <f>'[2]Actual FY RevExp FY22'!E41/'[2]Actual FY RevExp FY22'!D41-1</f>
        <v>0.37110719394918545</v>
      </c>
      <c r="F103" s="353">
        <f>'[2]Budget Overview FY23'!F37/'[2]Actual FY RevExp FY23'!E41-1</f>
        <v>0.75891292240319408</v>
      </c>
      <c r="G103" s="353">
        <f>'[2]Budget Overview FY23'!G37/'[2]Budget Overview FY23'!F37-1</f>
        <v>5.773131043156976E-2</v>
      </c>
      <c r="H103" s="353">
        <f t="shared" si="34"/>
        <v>0.02</v>
      </c>
      <c r="I103" s="353">
        <f t="shared" si="34"/>
        <v>0.02</v>
      </c>
      <c r="J103" s="353">
        <f t="shared" si="34"/>
        <v>0.02</v>
      </c>
      <c r="K103" s="353">
        <f t="shared" si="34"/>
        <v>0.02</v>
      </c>
      <c r="L103" s="353">
        <f t="shared" si="34"/>
        <v>0.02</v>
      </c>
      <c r="M103" s="353">
        <f t="shared" si="34"/>
        <v>0.02</v>
      </c>
      <c r="N103" s="353">
        <f t="shared" si="34"/>
        <v>0.02</v>
      </c>
      <c r="O103" s="353">
        <f t="shared" si="34"/>
        <v>0.02</v>
      </c>
    </row>
    <row r="104" spans="2:16" ht="16.5" thickBot="1">
      <c r="B104" s="240" t="s">
        <v>363</v>
      </c>
      <c r="C104" s="352" t="s">
        <v>429</v>
      </c>
      <c r="D104" s="353">
        <f>'[2]Actual FY RevExp FY22'!D42/'[2]Actual FY RevExp FY22'!C42-1</f>
        <v>-0.39288074679005702</v>
      </c>
      <c r="E104" s="353">
        <f>'[2]Actual FY RevExp FY22'!E42/'[2]Actual FY RevExp FY22'!D42-1</f>
        <v>0.41119753604644704</v>
      </c>
      <c r="F104" s="353">
        <f>'[2]Budget Overview FY23'!F38/'[2]Actual FY RevExp FY23'!E42-1</f>
        <v>2.2343323030058686</v>
      </c>
      <c r="G104" s="353">
        <f>'[2]Budget Overview FY23'!G38/'[2]Budget Overview FY23'!F38-1</f>
        <v>0.20637119113573399</v>
      </c>
      <c r="H104" s="353">
        <f t="shared" si="34"/>
        <v>0.02</v>
      </c>
      <c r="I104" s="353">
        <f t="shared" si="34"/>
        <v>0.02</v>
      </c>
      <c r="J104" s="353">
        <f t="shared" si="34"/>
        <v>0.02</v>
      </c>
      <c r="K104" s="353">
        <f t="shared" si="34"/>
        <v>0.02</v>
      </c>
      <c r="L104" s="353">
        <f t="shared" si="34"/>
        <v>0.02</v>
      </c>
      <c r="M104" s="353">
        <f t="shared" si="34"/>
        <v>0.02</v>
      </c>
      <c r="N104" s="353">
        <f t="shared" si="34"/>
        <v>0.02</v>
      </c>
      <c r="O104" s="353">
        <f t="shared" si="34"/>
        <v>0.02</v>
      </c>
    </row>
    <row r="105" spans="2:16" ht="16.5" thickBot="1">
      <c r="B105" s="240" t="s">
        <v>364</v>
      </c>
      <c r="C105" s="352" t="s">
        <v>429</v>
      </c>
      <c r="D105" s="353">
        <f>'[2]Actual FY RevExp FY22'!D44/'[2]Actual FY RevExp FY22'!C44-1</f>
        <v>0.58311928104694366</v>
      </c>
      <c r="E105" s="353">
        <f>'[2]Actual FY RevExp FY22'!E44/'[2]Actual FY RevExp FY22'!D44-1</f>
        <v>0.33897732847824402</v>
      </c>
      <c r="F105" s="353">
        <f>'[2]Budget Overview FY23'!F40/'[2]Actual FY RevExp FY23'!E44-1</f>
        <v>-0.11449584266363189</v>
      </c>
      <c r="G105" s="353">
        <f>'[2]Budget Overview FY23'!G40/'[2]Budget Overview FY23'!F40-1</f>
        <v>0.8403110954384776</v>
      </c>
      <c r="H105" s="353">
        <f t="shared" si="34"/>
        <v>0.02</v>
      </c>
      <c r="I105" s="353">
        <f t="shared" si="34"/>
        <v>0.02</v>
      </c>
      <c r="J105" s="353">
        <f t="shared" si="34"/>
        <v>0.02</v>
      </c>
      <c r="K105" s="353">
        <f t="shared" si="34"/>
        <v>0.02</v>
      </c>
      <c r="L105" s="353">
        <f t="shared" si="34"/>
        <v>0.02</v>
      </c>
      <c r="M105" s="353">
        <f t="shared" si="34"/>
        <v>0.02</v>
      </c>
      <c r="N105" s="353">
        <f t="shared" si="34"/>
        <v>0.02</v>
      </c>
      <c r="O105" s="353">
        <f t="shared" si="34"/>
        <v>0.02</v>
      </c>
    </row>
    <row r="106" spans="2:16" ht="16.5" thickBot="1">
      <c r="B106" s="240" t="s">
        <v>365</v>
      </c>
      <c r="C106" s="352" t="s">
        <v>429</v>
      </c>
      <c r="D106" s="353">
        <f>'[2]Actual FY RevExp FY22'!D33/'[2]Actual FY RevExp FY22'!C33-1</f>
        <v>-0.37584711352903832</v>
      </c>
      <c r="E106" s="353">
        <f>'[2]Actual FY RevExp FY22'!E33/'[2]Actual FY RevExp FY22'!D33-1</f>
        <v>-0.87620998062871902</v>
      </c>
      <c r="F106" s="353">
        <f>'[2]Budget Overview FY23'!F29/'[2]Actual FY RevExp FY23'!E33-1</f>
        <v>2.218651794544678</v>
      </c>
      <c r="G106" s="353">
        <f>'[2]Budget Overview FY23'!G29/'[2]Budget Overview FY23'!F29-1</f>
        <v>1.6363636363636362</v>
      </c>
      <c r="H106" s="353">
        <f t="shared" si="34"/>
        <v>0.02</v>
      </c>
      <c r="I106" s="353">
        <f t="shared" si="34"/>
        <v>0.02</v>
      </c>
      <c r="J106" s="353">
        <f t="shared" si="34"/>
        <v>0.02</v>
      </c>
      <c r="K106" s="353">
        <f t="shared" si="34"/>
        <v>0.02</v>
      </c>
      <c r="L106" s="353">
        <f t="shared" si="34"/>
        <v>0.02</v>
      </c>
      <c r="M106" s="353">
        <f t="shared" si="34"/>
        <v>0.02</v>
      </c>
      <c r="N106" s="353">
        <f t="shared" si="34"/>
        <v>0.02</v>
      </c>
      <c r="O106" s="353">
        <f t="shared" si="34"/>
        <v>0.02</v>
      </c>
    </row>
    <row r="107" spans="2:16" ht="16.5" thickBot="1">
      <c r="B107" s="240" t="s">
        <v>366</v>
      </c>
      <c r="C107" s="352" t="s">
        <v>429</v>
      </c>
      <c r="D107" s="353">
        <f>'[2]Actual FY RevExp FY22'!D34/'[2]Actual FY RevExp FY22'!C34-1</f>
        <v>-1.0497889121660164E-2</v>
      </c>
      <c r="E107" s="353">
        <f>'[2]Actual FY RevExp FY22'!E34/'[2]Actual FY RevExp FY22'!D34-1</f>
        <v>2.8138122485314554E-2</v>
      </c>
      <c r="F107" s="353">
        <f>'[2]Budget Overview FY23'!F30/'[2]Actual FY RevExp FY23'!E34-1</f>
        <v>2.0959575964887796</v>
      </c>
      <c r="G107" s="353">
        <f>'[2]Budget Overview FY23'!G30/'[2]Budget Overview FY23'!F30-1</f>
        <v>0.35418583256669733</v>
      </c>
      <c r="H107" s="353">
        <f t="shared" si="34"/>
        <v>0.02</v>
      </c>
      <c r="I107" s="353">
        <f t="shared" si="34"/>
        <v>0.02</v>
      </c>
      <c r="J107" s="353">
        <f t="shared" si="34"/>
        <v>0.02</v>
      </c>
      <c r="K107" s="353">
        <f t="shared" si="34"/>
        <v>0.02</v>
      </c>
      <c r="L107" s="353">
        <f t="shared" si="34"/>
        <v>0.02</v>
      </c>
      <c r="M107" s="353">
        <f t="shared" si="34"/>
        <v>0.02</v>
      </c>
      <c r="N107" s="353">
        <f t="shared" si="34"/>
        <v>0.02</v>
      </c>
      <c r="O107" s="353">
        <f t="shared" si="34"/>
        <v>0.02</v>
      </c>
    </row>
    <row r="108" spans="2:16" ht="16.5" thickBot="1">
      <c r="B108" s="240" t="s">
        <v>367</v>
      </c>
      <c r="C108" s="352" t="s">
        <v>429</v>
      </c>
      <c r="D108" s="353">
        <f>'[2]Actual FY RevExp FY22'!D35/'[2]Actual FY RevExp FY22'!C35-1</f>
        <v>0.46612097238336214</v>
      </c>
      <c r="E108" s="353">
        <f>'[2]Actual FY RevExp FY22'!E35/'[2]Actual FY RevExp FY22'!D35-1</f>
        <v>2.084178682252658</v>
      </c>
      <c r="F108" s="358">
        <f>'[2]Budget Overview FY23'!F31/'[2]Actual FY RevExp FY23'!E35-1</f>
        <v>-0.72348285493491993</v>
      </c>
      <c r="G108" s="353">
        <f>'[2]Budget Overview FY23'!G31/'[2]Budget Overview FY23'!F31-1</f>
        <v>0.51512051845952622</v>
      </c>
      <c r="H108" s="353">
        <f t="shared" si="34"/>
        <v>0.02</v>
      </c>
      <c r="I108" s="353">
        <f t="shared" si="34"/>
        <v>0.02</v>
      </c>
      <c r="J108" s="353">
        <f t="shared" si="34"/>
        <v>0.02</v>
      </c>
      <c r="K108" s="353">
        <f t="shared" si="34"/>
        <v>0.02</v>
      </c>
      <c r="L108" s="353">
        <f t="shared" si="34"/>
        <v>0.02</v>
      </c>
      <c r="M108" s="353">
        <f t="shared" si="34"/>
        <v>0.02</v>
      </c>
      <c r="N108" s="353">
        <f t="shared" si="34"/>
        <v>0.02</v>
      </c>
      <c r="O108" s="353">
        <f t="shared" si="34"/>
        <v>0.02</v>
      </c>
    </row>
    <row r="111" spans="2:16">
      <c r="B111" s="375" t="s">
        <v>509</v>
      </c>
    </row>
    <row r="112" spans="2:16" ht="16.5" thickBot="1">
      <c r="B112" s="240" t="s">
        <v>510</v>
      </c>
      <c r="C112" s="352" t="s">
        <v>429</v>
      </c>
      <c r="D112" s="353">
        <f>'[2]Actual FY RevExp FY22'!D36/'[2]Actual FY RevExp FY22'!C36-1</f>
        <v>6.0146556344633524</v>
      </c>
      <c r="E112" s="353">
        <f>'[2]Actual FY RevExp FY22'!E36/'[2]Actual FY RevExp FY22'!D36-1</f>
        <v>2.4248871187646737E-2</v>
      </c>
      <c r="F112" s="358">
        <f>'[2]Budget Overview FY23'!F32/'[2]Actual FY RevExp FY23'!E36-1</f>
        <v>-0.54609128855122346</v>
      </c>
      <c r="G112" s="353">
        <f>'[2]Budget Overview FY23'!G32/'[2]Budget Overview FY23'!F32-1</f>
        <v>1.0631098876266001</v>
      </c>
      <c r="H112" s="376">
        <v>0.02</v>
      </c>
      <c r="I112" s="353">
        <f t="shared" ref="I112:O114" si="35">H112</f>
        <v>0.02</v>
      </c>
      <c r="J112" s="353">
        <f t="shared" si="35"/>
        <v>0.02</v>
      </c>
      <c r="K112" s="353">
        <f t="shared" si="35"/>
        <v>0.02</v>
      </c>
      <c r="L112" s="353">
        <f t="shared" si="35"/>
        <v>0.02</v>
      </c>
      <c r="M112" s="353">
        <f t="shared" si="35"/>
        <v>0.02</v>
      </c>
      <c r="N112" s="353">
        <f t="shared" si="35"/>
        <v>0.02</v>
      </c>
      <c r="O112" s="353">
        <f t="shared" si="35"/>
        <v>0.02</v>
      </c>
    </row>
    <row r="113" spans="1:16" ht="16.5" thickBot="1">
      <c r="B113" s="240" t="s">
        <v>511</v>
      </c>
      <c r="C113" s="352" t="s">
        <v>429</v>
      </c>
      <c r="D113" s="353">
        <f>'[2]Actual FY RevExp FY22'!D37/'[2]Actual FY RevExp FY22'!C37-1</f>
        <v>2.0019999999999998</v>
      </c>
      <c r="E113" s="353">
        <f>'[2]Actual FY RevExp FY22'!E37/'[2]Actual FY RevExp FY22'!D37-1</f>
        <v>94.936042638241176</v>
      </c>
      <c r="F113" s="358">
        <f>'[2]Budget Overview FY23'!F33/'[2]Actual FY RevExp FY23'!E37-1</f>
        <v>1.7531933333333334</v>
      </c>
      <c r="G113" s="353">
        <f>'[2]Budget Overview FY23'!G33/'[2]Budget Overview FY23'!F33-1</f>
        <v>0</v>
      </c>
      <c r="H113" s="376">
        <v>0.02</v>
      </c>
      <c r="I113" s="353">
        <f t="shared" si="35"/>
        <v>0.02</v>
      </c>
      <c r="J113" s="353">
        <f t="shared" si="35"/>
        <v>0.02</v>
      </c>
      <c r="K113" s="353">
        <f t="shared" si="35"/>
        <v>0.02</v>
      </c>
      <c r="L113" s="353">
        <f t="shared" si="35"/>
        <v>0.02</v>
      </c>
      <c r="M113" s="353">
        <f t="shared" si="35"/>
        <v>0.02</v>
      </c>
      <c r="N113" s="353">
        <f t="shared" si="35"/>
        <v>0.02</v>
      </c>
      <c r="O113" s="353">
        <f t="shared" si="35"/>
        <v>0.02</v>
      </c>
    </row>
    <row r="114" spans="1:16" ht="15.75">
      <c r="B114" s="240" t="s">
        <v>512</v>
      </c>
      <c r="C114" s="352" t="s">
        <v>429</v>
      </c>
      <c r="D114" s="364">
        <f>'[2]Actual FY RevExp FY22'!D38/'[2]Actual FY RevExp FY22'!C38-1</f>
        <v>2.4179875967163507</v>
      </c>
      <c r="E114" s="364">
        <f>'[2]Actual FY RevExp FY22'!E38/'[2]Actual FY RevExp FY22'!D38-1</f>
        <v>0.19453990373456209</v>
      </c>
      <c r="F114" s="377">
        <f>'[2]Budget Overview FY23'!F34/'[2]Actual FY RevExp FY23'!E38-1</f>
        <v>0.70047023254121421</v>
      </c>
      <c r="G114" s="364">
        <f>'[2]Budget Overview FY23'!G34/'[2]Budget Overview FY23'!F34-1</f>
        <v>0</v>
      </c>
      <c r="H114" s="378">
        <v>0.04</v>
      </c>
      <c r="I114" s="364">
        <f t="shared" si="35"/>
        <v>0.04</v>
      </c>
      <c r="J114" s="364">
        <f t="shared" si="35"/>
        <v>0.04</v>
      </c>
      <c r="K114" s="364">
        <f t="shared" si="35"/>
        <v>0.04</v>
      </c>
      <c r="L114" s="364">
        <f t="shared" si="35"/>
        <v>0.04</v>
      </c>
      <c r="M114" s="364">
        <f t="shared" si="35"/>
        <v>0.04</v>
      </c>
      <c r="N114" s="364">
        <f t="shared" si="35"/>
        <v>0.04</v>
      </c>
      <c r="O114" s="364">
        <f t="shared" si="35"/>
        <v>0.04</v>
      </c>
    </row>
    <row r="115" spans="1:16" ht="16.5" thickBot="1">
      <c r="B115" s="240"/>
      <c r="C115" s="366"/>
      <c r="D115" s="376"/>
      <c r="E115" s="376"/>
      <c r="F115" s="376"/>
      <c r="G115" s="376"/>
      <c r="H115" s="376"/>
      <c r="I115" s="376"/>
      <c r="J115" s="376"/>
      <c r="K115" s="376"/>
      <c r="L115" s="376"/>
      <c r="M115" s="376"/>
      <c r="N115" s="376"/>
      <c r="O115" s="376"/>
    </row>
    <row r="116" spans="1:16" ht="16.5" thickBot="1">
      <c r="B116" s="240" t="s">
        <v>513</v>
      </c>
      <c r="C116" s="366"/>
      <c r="D116" s="376"/>
      <c r="E116" s="376"/>
      <c r="F116" s="376"/>
      <c r="G116" s="376"/>
      <c r="H116" s="379">
        <v>8.8420418000000005</v>
      </c>
      <c r="I116" s="373">
        <f>H116*(1+H77)</f>
        <v>9.0630928449999999</v>
      </c>
      <c r="J116" s="373">
        <f t="shared" ref="J116:O116" si="36">I116*(1+I77)</f>
        <v>9.2896701661249992</v>
      </c>
      <c r="K116" s="373">
        <f t="shared" si="36"/>
        <v>9.5219119202781233</v>
      </c>
      <c r="L116" s="373">
        <f t="shared" si="36"/>
        <v>9.7599597182850761</v>
      </c>
      <c r="M116" s="373">
        <f t="shared" si="36"/>
        <v>10.003958711242202</v>
      </c>
      <c r="N116" s="373">
        <f t="shared" si="36"/>
        <v>10.254057679023257</v>
      </c>
      <c r="O116" s="373">
        <f t="shared" si="36"/>
        <v>10.510409120998837</v>
      </c>
    </row>
    <row r="117" spans="1:16" ht="16.5" thickBot="1">
      <c r="B117" s="240" t="s">
        <v>514</v>
      </c>
      <c r="C117" s="374">
        <v>12000</v>
      </c>
      <c r="D117" s="366"/>
      <c r="E117" s="366"/>
      <c r="F117" s="366"/>
      <c r="G117" s="366"/>
      <c r="H117" s="366"/>
      <c r="I117" s="366"/>
      <c r="J117" s="366"/>
      <c r="K117" s="366"/>
      <c r="L117" s="366"/>
      <c r="M117" s="366"/>
      <c r="N117" s="366"/>
      <c r="O117" s="366"/>
    </row>
    <row r="118" spans="1:16">
      <c r="H118" s="380">
        <v>8.8420418000000005</v>
      </c>
      <c r="I118" s="380">
        <v>13.566690947083334</v>
      </c>
      <c r="J118" s="380">
        <v>16.2335900305</v>
      </c>
      <c r="K118" s="380">
        <v>18.892998851093125</v>
      </c>
      <c r="L118" s="380">
        <v>21.541377380607379</v>
      </c>
      <c r="M118" s="380">
        <v>24.515108616834652</v>
      </c>
      <c r="N118" s="380">
        <v>27.59941655055173</v>
      </c>
      <c r="P118" t="s">
        <v>515</v>
      </c>
    </row>
    <row r="119" spans="1:16" ht="15.75">
      <c r="A119" s="314" t="s">
        <v>480</v>
      </c>
      <c r="B119" s="314"/>
      <c r="C119" s="315"/>
      <c r="D119" s="315"/>
      <c r="E119" s="315"/>
      <c r="F119" s="314"/>
      <c r="G119" s="314"/>
      <c r="H119" s="314"/>
      <c r="I119" s="314"/>
      <c r="J119" s="314"/>
      <c r="K119" s="314"/>
      <c r="L119" s="314"/>
      <c r="M119" s="314"/>
      <c r="N119" s="314"/>
      <c r="O119" s="314"/>
    </row>
    <row r="121" spans="1:16">
      <c r="B121" s="375" t="s">
        <v>516</v>
      </c>
    </row>
    <row r="122" spans="1:16" ht="15.75">
      <c r="B122" s="240" t="s">
        <v>387</v>
      </c>
      <c r="C122" s="352"/>
      <c r="D122" s="352"/>
      <c r="E122" s="352"/>
      <c r="F122" s="352"/>
      <c r="G122" s="381">
        <v>0.1</v>
      </c>
      <c r="H122" s="382">
        <f>G122</f>
        <v>0.1</v>
      </c>
      <c r="I122" s="382">
        <f t="shared" ref="I122:O124" si="37">H122</f>
        <v>0.1</v>
      </c>
      <c r="J122" s="382">
        <f t="shared" si="37"/>
        <v>0.1</v>
      </c>
      <c r="K122" s="382">
        <f t="shared" si="37"/>
        <v>0.1</v>
      </c>
      <c r="L122" s="382">
        <f t="shared" si="37"/>
        <v>0.1</v>
      </c>
      <c r="M122" s="382">
        <f t="shared" si="37"/>
        <v>0.1</v>
      </c>
      <c r="N122" s="382">
        <f t="shared" si="37"/>
        <v>0.1</v>
      </c>
      <c r="O122" s="382">
        <f t="shared" si="37"/>
        <v>0.1</v>
      </c>
    </row>
    <row r="123" spans="1:16" ht="15.75">
      <c r="B123" s="240" t="s">
        <v>411</v>
      </c>
      <c r="C123" s="352"/>
      <c r="D123" s="352"/>
      <c r="E123" s="352"/>
      <c r="F123" s="352"/>
      <c r="G123" s="381">
        <v>0.1</v>
      </c>
      <c r="H123" s="382">
        <f t="shared" ref="H123:H124" si="38">G123</f>
        <v>0.1</v>
      </c>
      <c r="I123" s="382">
        <f t="shared" si="37"/>
        <v>0.1</v>
      </c>
      <c r="J123" s="382">
        <f t="shared" si="37"/>
        <v>0.1</v>
      </c>
      <c r="K123" s="382">
        <f t="shared" si="37"/>
        <v>0.1</v>
      </c>
      <c r="L123" s="382">
        <f t="shared" si="37"/>
        <v>0.1</v>
      </c>
      <c r="M123" s="382">
        <f t="shared" si="37"/>
        <v>0.1</v>
      </c>
      <c r="N123" s="382">
        <f t="shared" si="37"/>
        <v>0.1</v>
      </c>
      <c r="O123" s="382">
        <f t="shared" si="37"/>
        <v>0.1</v>
      </c>
    </row>
    <row r="124" spans="1:16" ht="15.75">
      <c r="B124" s="240" t="s">
        <v>517</v>
      </c>
      <c r="C124" s="352"/>
      <c r="D124" s="352"/>
      <c r="E124" s="352"/>
      <c r="F124" s="352"/>
      <c r="G124" s="381">
        <v>0.1</v>
      </c>
      <c r="H124" s="382">
        <f t="shared" si="38"/>
        <v>0.1</v>
      </c>
      <c r="I124" s="382">
        <f t="shared" si="37"/>
        <v>0.1</v>
      </c>
      <c r="J124" s="382">
        <f t="shared" si="37"/>
        <v>0.1</v>
      </c>
      <c r="K124" s="382">
        <f t="shared" si="37"/>
        <v>0.1</v>
      </c>
      <c r="L124" s="382">
        <f t="shared" si="37"/>
        <v>0.1</v>
      </c>
      <c r="M124" s="382">
        <f t="shared" si="37"/>
        <v>0.1</v>
      </c>
      <c r="N124" s="382">
        <f t="shared" si="37"/>
        <v>0.1</v>
      </c>
      <c r="O124" s="382">
        <f t="shared" si="37"/>
        <v>0.1</v>
      </c>
    </row>
  </sheetData>
  <pageMargins left="0.7" right="0.7" top="0.75" bottom="0.75" header="0.3" footer="0.3"/>
  <pageSetup orientation="portrait" horizontalDpi="1200" verticalDpi="12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94D76-D24E-4D1A-88D7-C8B7FC579CB9}">
  <sheetPr>
    <tabColor theme="9" tint="0.79998168889431442"/>
  </sheetPr>
  <dimension ref="A1:V34"/>
  <sheetViews>
    <sheetView zoomScale="72" workbookViewId="0">
      <selection activeCell="B34" sqref="B34"/>
    </sheetView>
  </sheetViews>
  <sheetFormatPr defaultColWidth="8.7109375" defaultRowHeight="15"/>
  <cols>
    <col min="1" max="1" width="32.28515625" bestFit="1" customWidth="1"/>
    <col min="2" max="2" width="50.28515625" bestFit="1" customWidth="1"/>
    <col min="3" max="3" width="9.7109375" bestFit="1" customWidth="1"/>
    <col min="4" max="4" width="1.85546875" bestFit="1" customWidth="1"/>
    <col min="5" max="5" width="16.28515625" bestFit="1" customWidth="1"/>
    <col min="6" max="6" width="15.7109375" customWidth="1"/>
    <col min="7" max="7" width="1.85546875" bestFit="1" customWidth="1"/>
    <col min="8" max="8" width="10.42578125" bestFit="1" customWidth="1"/>
    <col min="9" max="9" width="18.42578125" customWidth="1"/>
  </cols>
  <sheetData>
    <row r="1" spans="1:21">
      <c r="A1" t="s">
        <v>519</v>
      </c>
    </row>
    <row r="3" spans="1:21" ht="15.75" thickBot="1">
      <c r="C3" s="384">
        <f>[2]ENROLLMENT!H18</f>
        <v>237</v>
      </c>
    </row>
    <row r="4" spans="1:21" ht="75.75" thickBot="1">
      <c r="A4" s="317" t="s">
        <v>520</v>
      </c>
      <c r="B4" s="87" t="s">
        <v>521</v>
      </c>
      <c r="C4" s="385">
        <f>6860</f>
        <v>6860</v>
      </c>
      <c r="E4" t="s">
        <v>522</v>
      </c>
      <c r="F4" s="385">
        <f>C4*C3</f>
        <v>1625820</v>
      </c>
      <c r="I4" s="162" t="s">
        <v>523</v>
      </c>
    </row>
    <row r="5" spans="1:21" ht="15.75" thickBot="1">
      <c r="A5" s="386" t="s">
        <v>524</v>
      </c>
      <c r="B5" s="387"/>
      <c r="C5" s="388" t="s">
        <v>525</v>
      </c>
      <c r="D5" s="388"/>
      <c r="E5" s="387" t="s">
        <v>526</v>
      </c>
      <c r="F5" s="388"/>
      <c r="G5" s="388"/>
      <c r="H5" s="389" t="s">
        <v>527</v>
      </c>
      <c r="M5" t="s">
        <v>528</v>
      </c>
      <c r="Q5" t="s">
        <v>529</v>
      </c>
      <c r="T5" t="s">
        <v>530</v>
      </c>
    </row>
    <row r="6" spans="1:21">
      <c r="A6" s="390" t="s">
        <v>531</v>
      </c>
      <c r="B6" s="391" t="s">
        <v>532</v>
      </c>
      <c r="C6" s="392">
        <v>0.25</v>
      </c>
      <c r="D6" s="392" t="s">
        <v>533</v>
      </c>
      <c r="E6" s="393">
        <f>ROUND($C$3*Q6,0.5)</f>
        <v>109</v>
      </c>
      <c r="F6" s="394" t="s">
        <v>534</v>
      </c>
      <c r="G6" s="394" t="s">
        <v>535</v>
      </c>
      <c r="H6" s="395">
        <f t="shared" ref="H6:H19" si="0">IFERROR(C6*E6*6860,0)</f>
        <v>186935</v>
      </c>
      <c r="I6" s="396">
        <v>84.484369851188617</v>
      </c>
      <c r="M6" s="397">
        <v>0.35647413439320091</v>
      </c>
      <c r="Q6" s="397">
        <v>0.46</v>
      </c>
      <c r="T6" s="398">
        <f t="shared" ref="T6:T19" si="1">Q6-M6</f>
        <v>0.10352586560679911</v>
      </c>
      <c r="U6" t="s">
        <v>536</v>
      </c>
    </row>
    <row r="7" spans="1:21">
      <c r="A7" s="390" t="s">
        <v>537</v>
      </c>
      <c r="B7" s="391" t="s">
        <v>538</v>
      </c>
      <c r="C7" s="392">
        <v>0.05</v>
      </c>
      <c r="D7" s="392" t="s">
        <v>533</v>
      </c>
      <c r="E7" s="393">
        <f t="shared" ref="E7:E19" si="2">ROUND($C$3*Q7,0.5)</f>
        <v>237</v>
      </c>
      <c r="F7" s="394" t="s">
        <v>534</v>
      </c>
      <c r="G7" s="394" t="s">
        <v>535</v>
      </c>
      <c r="H7" s="395">
        <f t="shared" si="0"/>
        <v>81291.000000000015</v>
      </c>
      <c r="I7" s="396">
        <v>138.73847997148172</v>
      </c>
      <c r="M7" s="397">
        <v>0.58539443025941651</v>
      </c>
      <c r="Q7" s="397">
        <v>1</v>
      </c>
      <c r="T7" s="398">
        <f t="shared" si="1"/>
        <v>0.41460556974058349</v>
      </c>
      <c r="U7" t="s">
        <v>539</v>
      </c>
    </row>
    <row r="8" spans="1:21">
      <c r="A8" s="390" t="s">
        <v>540</v>
      </c>
      <c r="B8" s="391" t="s">
        <v>541</v>
      </c>
      <c r="C8" s="392">
        <v>0.05</v>
      </c>
      <c r="D8" s="392" t="s">
        <v>533</v>
      </c>
      <c r="E8" s="393">
        <f t="shared" si="2"/>
        <v>0</v>
      </c>
      <c r="F8" s="394" t="s">
        <v>534</v>
      </c>
      <c r="G8" s="394" t="s">
        <v>535</v>
      </c>
      <c r="H8" s="395">
        <f t="shared" si="0"/>
        <v>0</v>
      </c>
      <c r="I8" s="396">
        <v>0</v>
      </c>
      <c r="M8" s="397">
        <v>0</v>
      </c>
      <c r="Q8" s="397">
        <v>0</v>
      </c>
      <c r="T8" s="398">
        <f t="shared" si="1"/>
        <v>0</v>
      </c>
    </row>
    <row r="9" spans="1:21">
      <c r="A9" s="390" t="s">
        <v>542</v>
      </c>
      <c r="B9" s="399" t="s">
        <v>543</v>
      </c>
      <c r="C9" s="392">
        <v>0.05</v>
      </c>
      <c r="D9" s="392" t="s">
        <v>533</v>
      </c>
      <c r="E9" s="393">
        <f t="shared" si="2"/>
        <v>0</v>
      </c>
      <c r="F9" s="394" t="s">
        <v>534</v>
      </c>
      <c r="G9" s="394" t="s">
        <v>535</v>
      </c>
      <c r="H9" s="395">
        <f t="shared" si="0"/>
        <v>0</v>
      </c>
      <c r="I9" s="396">
        <v>0.41160125043417856</v>
      </c>
      <c r="M9" s="397">
        <v>1.7367141368530741E-3</v>
      </c>
      <c r="Q9" s="397">
        <v>1.7367141368530741E-3</v>
      </c>
      <c r="T9" s="398">
        <f t="shared" si="1"/>
        <v>0</v>
      </c>
    </row>
    <row r="10" spans="1:21">
      <c r="A10" s="390" t="s">
        <v>544</v>
      </c>
      <c r="B10" s="391" t="s">
        <v>545</v>
      </c>
      <c r="C10" s="392">
        <v>0.15</v>
      </c>
      <c r="D10" s="392" t="s">
        <v>533</v>
      </c>
      <c r="E10" s="393">
        <f t="shared" si="2"/>
        <v>16</v>
      </c>
      <c r="F10" s="394" t="s">
        <v>534</v>
      </c>
      <c r="G10" s="394" t="s">
        <v>535</v>
      </c>
      <c r="H10" s="395">
        <f t="shared" si="0"/>
        <v>16464</v>
      </c>
      <c r="I10" s="396">
        <v>16.43910849288963</v>
      </c>
      <c r="M10" s="397">
        <v>6.9363326974217848E-2</v>
      </c>
      <c r="Q10" s="397">
        <v>6.9363326974217848E-2</v>
      </c>
      <c r="T10" s="398">
        <f t="shared" si="1"/>
        <v>0</v>
      </c>
    </row>
    <row r="11" spans="1:21">
      <c r="A11" s="390" t="s">
        <v>546</v>
      </c>
      <c r="B11" s="399" t="s">
        <v>547</v>
      </c>
      <c r="C11" s="392">
        <v>0.2</v>
      </c>
      <c r="D11" s="392" t="s">
        <v>533</v>
      </c>
      <c r="E11" s="393">
        <f t="shared" si="2"/>
        <v>30</v>
      </c>
      <c r="F11" s="394" t="s">
        <v>534</v>
      </c>
      <c r="G11" s="394" t="s">
        <v>535</v>
      </c>
      <c r="H11" s="395">
        <f t="shared" si="0"/>
        <v>41160</v>
      </c>
      <c r="I11" s="396">
        <v>29.937408648082595</v>
      </c>
      <c r="M11" s="397">
        <v>0.12631817994971559</v>
      </c>
      <c r="Q11" s="397">
        <v>0.12631817994971559</v>
      </c>
      <c r="T11" s="398">
        <f t="shared" si="1"/>
        <v>0</v>
      </c>
    </row>
    <row r="12" spans="1:21">
      <c r="A12" s="390" t="s">
        <v>548</v>
      </c>
      <c r="B12" s="391" t="s">
        <v>549</v>
      </c>
      <c r="C12" s="392">
        <v>0.4</v>
      </c>
      <c r="D12" s="392" t="s">
        <v>533</v>
      </c>
      <c r="E12" s="393">
        <f t="shared" si="2"/>
        <v>8</v>
      </c>
      <c r="F12" s="394" t="s">
        <v>534</v>
      </c>
      <c r="G12" s="394" t="s">
        <v>535</v>
      </c>
      <c r="H12" s="395">
        <f t="shared" si="0"/>
        <v>21952</v>
      </c>
      <c r="I12" s="396">
        <v>8.2138846154105334</v>
      </c>
      <c r="M12" s="397">
        <v>3.4657740993293391E-2</v>
      </c>
      <c r="Q12" s="397">
        <v>3.4657740993293391E-2</v>
      </c>
      <c r="T12" s="398">
        <f t="shared" si="1"/>
        <v>0</v>
      </c>
    </row>
    <row r="13" spans="1:21">
      <c r="A13" s="390" t="s">
        <v>550</v>
      </c>
      <c r="B13" s="391" t="s">
        <v>551</v>
      </c>
      <c r="C13" s="392">
        <v>0.6</v>
      </c>
      <c r="D13" s="392" t="s">
        <v>533</v>
      </c>
      <c r="E13" s="393">
        <f t="shared" si="2"/>
        <v>1</v>
      </c>
      <c r="F13" s="394" t="s">
        <v>534</v>
      </c>
      <c r="G13" s="394" t="s">
        <v>535</v>
      </c>
      <c r="H13" s="395">
        <f t="shared" si="0"/>
        <v>4116</v>
      </c>
      <c r="I13" s="396">
        <v>0.81908866754404952</v>
      </c>
      <c r="M13" s="397">
        <v>3.4560703271900822E-3</v>
      </c>
      <c r="Q13" s="397">
        <v>3.4560703271900822E-3</v>
      </c>
      <c r="T13" s="398">
        <f t="shared" si="1"/>
        <v>0</v>
      </c>
    </row>
    <row r="14" spans="1:21">
      <c r="A14" s="390" t="s">
        <v>552</v>
      </c>
      <c r="B14" s="391" t="s">
        <v>553</v>
      </c>
      <c r="C14" s="392">
        <v>0.7</v>
      </c>
      <c r="D14" s="392" t="s">
        <v>533</v>
      </c>
      <c r="E14" s="393">
        <f t="shared" si="2"/>
        <v>43</v>
      </c>
      <c r="F14" s="394" t="s">
        <v>534</v>
      </c>
      <c r="G14" s="394" t="s">
        <v>535</v>
      </c>
      <c r="H14" s="395">
        <f t="shared" si="0"/>
        <v>206485.99999999997</v>
      </c>
      <c r="I14" s="396">
        <v>16.485689968523388</v>
      </c>
      <c r="M14" s="397">
        <v>6.9559873284908813E-2</v>
      </c>
      <c r="Q14" s="397">
        <v>0.18</v>
      </c>
      <c r="T14" s="398">
        <f t="shared" si="1"/>
        <v>0.11044012671509118</v>
      </c>
    </row>
    <row r="15" spans="1:21">
      <c r="A15" s="390" t="s">
        <v>554</v>
      </c>
      <c r="B15" s="391" t="s">
        <v>555</v>
      </c>
      <c r="C15" s="392">
        <v>0.75</v>
      </c>
      <c r="D15" s="392" t="s">
        <v>533</v>
      </c>
      <c r="E15" s="393">
        <f t="shared" si="2"/>
        <v>1</v>
      </c>
      <c r="F15" s="394" t="s">
        <v>534</v>
      </c>
      <c r="G15" s="394" t="s">
        <v>535</v>
      </c>
      <c r="H15" s="395">
        <f t="shared" si="0"/>
        <v>5145</v>
      </c>
      <c r="I15" s="396">
        <v>1.4000528316483138</v>
      </c>
      <c r="M15" s="397">
        <v>5.9073959141279064E-3</v>
      </c>
      <c r="Q15" s="397">
        <v>5.9073959141279064E-3</v>
      </c>
      <c r="T15" s="398">
        <f t="shared" si="1"/>
        <v>0</v>
      </c>
    </row>
    <row r="16" spans="1:21">
      <c r="A16" s="390" t="s">
        <v>556</v>
      </c>
      <c r="B16" s="391" t="s">
        <v>557</v>
      </c>
      <c r="C16" s="392">
        <v>0.8</v>
      </c>
      <c r="D16" s="392" t="s">
        <v>533</v>
      </c>
      <c r="E16" s="393">
        <f t="shared" si="2"/>
        <v>1</v>
      </c>
      <c r="F16" s="394" t="s">
        <v>534</v>
      </c>
      <c r="G16" s="394" t="s">
        <v>535</v>
      </c>
      <c r="H16" s="395">
        <f t="shared" si="0"/>
        <v>5488</v>
      </c>
      <c r="I16" s="396">
        <v>1.4556844225480623</v>
      </c>
      <c r="M16" s="397">
        <v>6.1421283651816976E-3</v>
      </c>
      <c r="Q16" s="397">
        <v>6.1421283651816976E-3</v>
      </c>
      <c r="T16" s="398">
        <f t="shared" si="1"/>
        <v>0</v>
      </c>
    </row>
    <row r="17" spans="1:22">
      <c r="A17" s="390" t="s">
        <v>558</v>
      </c>
      <c r="B17" s="391" t="s">
        <v>559</v>
      </c>
      <c r="C17" s="392">
        <v>1</v>
      </c>
      <c r="D17" s="392" t="s">
        <v>533</v>
      </c>
      <c r="E17" s="393">
        <f t="shared" si="2"/>
        <v>0</v>
      </c>
      <c r="F17" s="394" t="s">
        <v>534</v>
      </c>
      <c r="G17" s="394" t="s">
        <v>535</v>
      </c>
      <c r="H17" s="395">
        <f t="shared" si="0"/>
        <v>0</v>
      </c>
      <c r="I17" s="396">
        <v>0.21906602540905781</v>
      </c>
      <c r="M17" s="397">
        <v>9.2432922113526504E-4</v>
      </c>
      <c r="Q17" s="397">
        <v>9.2432922113526504E-4</v>
      </c>
      <c r="T17" s="398">
        <f t="shared" si="1"/>
        <v>0</v>
      </c>
    </row>
    <row r="18" spans="1:22">
      <c r="A18" s="390" t="s">
        <v>560</v>
      </c>
      <c r="B18" s="391" t="s">
        <v>561</v>
      </c>
      <c r="C18" s="392">
        <v>1.25</v>
      </c>
      <c r="D18" s="392" t="s">
        <v>533</v>
      </c>
      <c r="E18" s="393">
        <f t="shared" si="2"/>
        <v>3</v>
      </c>
      <c r="F18" s="394" t="s">
        <v>534</v>
      </c>
      <c r="G18" s="394" t="s">
        <v>535</v>
      </c>
      <c r="H18" s="395">
        <f t="shared" si="0"/>
        <v>25725</v>
      </c>
      <c r="I18" s="396">
        <v>3.2832221105839179</v>
      </c>
      <c r="M18" s="397">
        <v>1.3853257850565055E-2</v>
      </c>
      <c r="Q18" s="397">
        <v>1.3853257850565055E-2</v>
      </c>
      <c r="T18" s="398">
        <f t="shared" si="1"/>
        <v>0</v>
      </c>
    </row>
    <row r="19" spans="1:22" ht="15.75" thickBot="1">
      <c r="A19" s="390" t="s">
        <v>562</v>
      </c>
      <c r="B19" s="391" t="s">
        <v>563</v>
      </c>
      <c r="C19" s="392">
        <v>1.5</v>
      </c>
      <c r="D19" s="392" t="s">
        <v>533</v>
      </c>
      <c r="E19" s="393">
        <f t="shared" si="2"/>
        <v>0</v>
      </c>
      <c r="F19" s="394" t="s">
        <v>534</v>
      </c>
      <c r="G19" s="394" t="s">
        <v>535</v>
      </c>
      <c r="H19" s="395">
        <f t="shared" si="0"/>
        <v>0</v>
      </c>
      <c r="I19" s="396">
        <v>0.10950639471845247</v>
      </c>
      <c r="M19" s="397">
        <v>4.6205229839009482E-4</v>
      </c>
      <c r="Q19" s="397">
        <v>4.6205229839009482E-4</v>
      </c>
      <c r="T19" s="398">
        <f t="shared" si="1"/>
        <v>0</v>
      </c>
    </row>
    <row r="20" spans="1:22" ht="15.75" thickBot="1">
      <c r="A20" s="386" t="s">
        <v>564</v>
      </c>
      <c r="B20" s="387"/>
      <c r="C20" s="388"/>
      <c r="D20" s="388"/>
      <c r="E20" s="387"/>
      <c r="F20" s="388"/>
      <c r="G20" s="388"/>
      <c r="H20" s="389"/>
    </row>
    <row r="21" spans="1:22">
      <c r="A21" s="390" t="s">
        <v>565</v>
      </c>
      <c r="B21" s="400" t="s">
        <v>566</v>
      </c>
      <c r="C21" s="401">
        <v>5000</v>
      </c>
      <c r="D21" s="402" t="s">
        <v>533</v>
      </c>
      <c r="E21" s="393">
        <f>ROUND($C$3*Q21,0.5)</f>
        <v>71</v>
      </c>
      <c r="F21" s="394"/>
      <c r="G21" s="394" t="s">
        <v>535</v>
      </c>
      <c r="H21" s="395">
        <f>IFERROR(C21*E21,0)</f>
        <v>355000</v>
      </c>
      <c r="I21" s="396">
        <v>8</v>
      </c>
      <c r="Q21" s="403">
        <v>0.3</v>
      </c>
      <c r="R21" t="s">
        <v>567</v>
      </c>
      <c r="T21" t="s">
        <v>568</v>
      </c>
    </row>
    <row r="22" spans="1:22">
      <c r="A22" s="390" t="s">
        <v>569</v>
      </c>
      <c r="B22" s="400" t="s">
        <v>570</v>
      </c>
      <c r="C22" s="401">
        <v>185.34</v>
      </c>
      <c r="D22" s="402" t="s">
        <v>533</v>
      </c>
      <c r="E22" s="393">
        <f>ROUND($C$3*Q22,0.5)</f>
        <v>237</v>
      </c>
      <c r="F22" s="394"/>
      <c r="G22" s="394" t="s">
        <v>535</v>
      </c>
      <c r="H22" s="395">
        <f>IFERROR(C22*E22,0)</f>
        <v>43925.58</v>
      </c>
      <c r="I22" s="396">
        <v>16</v>
      </c>
      <c r="Q22" s="403">
        <v>1</v>
      </c>
      <c r="R22" t="s">
        <v>567</v>
      </c>
      <c r="V22" s="404" t="s">
        <v>571</v>
      </c>
    </row>
    <row r="23" spans="1:22" ht="15.75" thickBot="1">
      <c r="A23" s="405" t="s">
        <v>572</v>
      </c>
      <c r="B23" s="406" t="s">
        <v>573</v>
      </c>
      <c r="C23" s="407">
        <v>500</v>
      </c>
      <c r="D23" s="408" t="s">
        <v>533</v>
      </c>
      <c r="E23" s="409">
        <v>237</v>
      </c>
      <c r="F23" s="410"/>
      <c r="G23" s="410" t="s">
        <v>535</v>
      </c>
      <c r="H23" s="411">
        <f>IFERROR(C23*E23,0)</f>
        <v>118500</v>
      </c>
      <c r="I23" s="396">
        <v>9</v>
      </c>
    </row>
    <row r="24" spans="1:22" ht="15.75" thickBot="1"/>
    <row r="25" spans="1:22">
      <c r="A25" s="412" t="s">
        <v>574</v>
      </c>
      <c r="B25" s="413"/>
      <c r="C25" s="413"/>
      <c r="D25" s="413"/>
      <c r="E25" s="413"/>
      <c r="F25" s="413"/>
      <c r="G25" s="413"/>
      <c r="H25" s="414">
        <f>SUM(H6:H23,F4)</f>
        <v>2738007.58</v>
      </c>
    </row>
    <row r="26" spans="1:22">
      <c r="A26" s="415" t="s">
        <v>575</v>
      </c>
      <c r="B26" s="416"/>
      <c r="C26" s="416"/>
      <c r="D26" s="416"/>
      <c r="E26" s="416"/>
      <c r="F26" s="416"/>
      <c r="G26" s="416"/>
      <c r="H26" s="417">
        <f>H25/C3</f>
        <v>11552.774599156119</v>
      </c>
    </row>
    <row r="27" spans="1:22" ht="15.75" thickBot="1">
      <c r="A27" s="418" t="s">
        <v>576</v>
      </c>
      <c r="B27" s="419"/>
      <c r="C27" s="419"/>
      <c r="D27" s="419"/>
      <c r="E27" s="419"/>
      <c r="F27" s="419"/>
      <c r="G27" s="419"/>
      <c r="H27" s="420">
        <f>H26+H30</f>
        <v>13694.774599156119</v>
      </c>
    </row>
    <row r="28" spans="1:22">
      <c r="A28" s="421" t="s">
        <v>577</v>
      </c>
      <c r="B28" s="416"/>
      <c r="C28" s="416"/>
      <c r="D28" s="416"/>
      <c r="E28" s="416"/>
      <c r="F28" s="416"/>
      <c r="G28" s="416"/>
      <c r="H28" s="422">
        <v>11040</v>
      </c>
    </row>
    <row r="29" spans="1:22">
      <c r="A29" s="164" t="s">
        <v>578</v>
      </c>
      <c r="B29" s="164"/>
      <c r="C29" s="164"/>
      <c r="D29" s="164"/>
      <c r="E29" s="164"/>
      <c r="F29" s="164"/>
      <c r="G29" s="164"/>
      <c r="H29" s="383">
        <f>H27/H28-1</f>
        <v>0.24046871369167744</v>
      </c>
    </row>
    <row r="30" spans="1:22">
      <c r="F30" s="256" t="s">
        <v>579</v>
      </c>
      <c r="H30" s="166">
        <v>2142</v>
      </c>
    </row>
    <row r="34" spans="2:2" ht="15.75">
      <c r="B34" s="432" t="s">
        <v>587</v>
      </c>
    </row>
  </sheetData>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c2de76c-ef5a-4af6-bb66-bebcd33d8314" xsi:nil="true"/>
    <lcf76f155ced4ddcb4097134ff3c332f xmlns="116b7f3e-a3b3-4dd6-9b2a-79f8c57c9090">
      <Terms xmlns="http://schemas.microsoft.com/office/infopath/2007/PartnerControls"/>
    </lcf76f155ced4ddcb4097134ff3c332f>
    <SharedWithUsers xmlns="9c2de76c-ef5a-4af6-bb66-bebcd33d8314">
      <UserInfo>
        <DisplayName>Fulton Breen</DisplayName>
        <AccountId>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7CE8E40675174992340580989D7E3D" ma:contentTypeVersion="13" ma:contentTypeDescription="Create a new document." ma:contentTypeScope="" ma:versionID="7b3bb6cc471d0e6bd1fb3b9fce100726">
  <xsd:schema xmlns:xsd="http://www.w3.org/2001/XMLSchema" xmlns:xs="http://www.w3.org/2001/XMLSchema" xmlns:p="http://schemas.microsoft.com/office/2006/metadata/properties" xmlns:ns2="116b7f3e-a3b3-4dd6-9b2a-79f8c57c9090" xmlns:ns3="9c2de76c-ef5a-4af6-bb66-bebcd33d8314" targetNamespace="http://schemas.microsoft.com/office/2006/metadata/properties" ma:root="true" ma:fieldsID="5b865827c91e5a99e2305c3b93a5e9a4" ns2:_="" ns3:_="">
    <xsd:import namespace="116b7f3e-a3b3-4dd6-9b2a-79f8c57c9090"/>
    <xsd:import namespace="9c2de76c-ef5a-4af6-bb66-bebcd33d831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6b7f3e-a3b3-4dd6-9b2a-79f8c57c90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ed27c67-252c-4290-b1f6-0b0f49dc835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2de76c-ef5a-4af6-bb66-bebcd33d831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41c1350-2e20-4d79-bbf7-5b7e32b20540}" ma:internalName="TaxCatchAll" ma:showField="CatchAllData" ma:web="9c2de76c-ef5a-4af6-bb66-bebcd33d83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6EFD84-3CBD-415B-9BB4-7F69E76DCD61}">
  <ds:schemaRefs>
    <ds:schemaRef ds:uri="http://purl.org/dc/elements/1.1/"/>
    <ds:schemaRef ds:uri="http://schemas.microsoft.com/office/infopath/2007/PartnerControls"/>
    <ds:schemaRef ds:uri="http://schemas.openxmlformats.org/package/2006/metadata/core-properties"/>
    <ds:schemaRef ds:uri="9c2de76c-ef5a-4af6-bb66-bebcd33d8314"/>
    <ds:schemaRef ds:uri="http://schemas.microsoft.com/office/2006/documentManagement/types"/>
    <ds:schemaRef ds:uri="http://purl.org/dc/dcmitype/"/>
    <ds:schemaRef ds:uri="http://www.w3.org/XML/1998/namespace"/>
    <ds:schemaRef ds:uri="116b7f3e-a3b3-4dd6-9b2a-79f8c57c9090"/>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62941C8-BF49-460C-B88C-DE1CC7561473}">
  <ds:schemaRefs>
    <ds:schemaRef ds:uri="http://schemas.microsoft.com/sharepoint/v3/contenttype/forms"/>
  </ds:schemaRefs>
</ds:datastoreItem>
</file>

<file path=customXml/itemProps3.xml><?xml version="1.0" encoding="utf-8"?>
<ds:datastoreItem xmlns:ds="http://schemas.openxmlformats.org/officeDocument/2006/customXml" ds:itemID="{E814F983-9A47-4EB6-AA5F-B80DC227AB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6b7f3e-a3b3-4dd6-9b2a-79f8c57c9090"/>
    <ds:schemaRef ds:uri="9c2de76c-ef5a-4af6-bb66-bebcd33d83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16</vt:i4>
      </vt:variant>
    </vt:vector>
  </HeadingPairs>
  <TitlesOfParts>
    <vt:vector size="37" baseType="lpstr">
      <vt:lpstr>Source</vt:lpstr>
      <vt:lpstr>KNOX-BOYS</vt:lpstr>
      <vt:lpstr>ENROLLMENT</vt:lpstr>
      <vt:lpstr>STAFF_KPB</vt:lpstr>
      <vt:lpstr>TISA-High School</vt:lpstr>
      <vt:lpstr>TISA-Middle School</vt:lpstr>
      <vt:lpstr>TISA Calculator Tracker</vt:lpstr>
      <vt:lpstr>INPUTS</vt:lpstr>
      <vt:lpstr>BEP-TISA-HS</vt:lpstr>
      <vt:lpstr>BEP-TISA-MS</vt:lpstr>
      <vt:lpstr>Actual FY RevExp FY22</vt:lpstr>
      <vt:lpstr>Instructions</vt:lpstr>
      <vt:lpstr>1) Proposed School Information</vt:lpstr>
      <vt:lpstr>2) Student Assumptions</vt:lpstr>
      <vt:lpstr>3) Pre-Opening Budget</vt:lpstr>
      <vt:lpstr>4) Pre-Opening Cash Flow</vt:lpstr>
      <vt:lpstr>5) Year 1-5 Staff Assumptions</vt:lpstr>
      <vt:lpstr>6) Year 1 Budget</vt:lpstr>
      <vt:lpstr>7) Year 1 Cash Flow</vt:lpstr>
      <vt:lpstr>8) Year 2 through 5 Budget</vt:lpstr>
      <vt:lpstr>9) Summary</vt:lpstr>
      <vt:lpstr>'1) Proposed School Information'!Print_Area</vt:lpstr>
      <vt:lpstr>'2) Student Assumptions'!Print_Area</vt:lpstr>
      <vt:lpstr>'3) Pre-Opening Budget'!Print_Area</vt:lpstr>
      <vt:lpstr>'4) Pre-Opening Cash Flow'!Print_Area</vt:lpstr>
      <vt:lpstr>'5) Year 1-5 Staff Assumptions'!Print_Area</vt:lpstr>
      <vt:lpstr>'6) Year 1 Budget'!Print_Area</vt:lpstr>
      <vt:lpstr>'7) Year 1 Cash Flow'!Print_Area</vt:lpstr>
      <vt:lpstr>'8) Year 2 through 5 Budget'!Print_Area</vt:lpstr>
      <vt:lpstr>Instructions!Print_Area</vt:lpstr>
      <vt:lpstr>'2) Student Assumptions'!Print_Titles</vt:lpstr>
      <vt:lpstr>'3) Pre-Opening Budget'!Print_Titles</vt:lpstr>
      <vt:lpstr>'4) Pre-Opening Cash Flow'!Print_Titles</vt:lpstr>
      <vt:lpstr>'5) Year 1-5 Staff Assumptions'!Print_Titles</vt:lpstr>
      <vt:lpstr>'6) Year 1 Budget'!Print_Titles</vt:lpstr>
      <vt:lpstr>'7) Year 1 Cash Flow'!Print_Titles</vt:lpstr>
      <vt:lpstr>'8) Year 2 through 5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Gasper Magallanes</dc:creator>
  <cp:keywords/>
  <dc:description/>
  <cp:lastModifiedBy>CINDY FOWLER</cp:lastModifiedBy>
  <cp:revision/>
  <cp:lastPrinted>2023-01-30T02:56:12Z</cp:lastPrinted>
  <dcterms:created xsi:type="dcterms:W3CDTF">2016-02-03T14:36:57Z</dcterms:created>
  <dcterms:modified xsi:type="dcterms:W3CDTF">2023-03-06T14:21:07Z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0x010100767CE8E40675174992340580989D7E3D</vt:lpwstr>
  </property>
  <property fmtid="{D5CDD505-2E9C-101B-9397-08002B2CF9AE}" pid="3" name="MediaServiceImageTags">
    <vt:lpwstr/>
  </property>
</Properties>
</file>